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6125" windowHeight="12840" tabRatio="783" activeTab="7"/>
  </bookViews>
  <sheets>
    <sheet name="H+O2+M Troe-HPMech-updated" sheetId="19" r:id="rId1"/>
    <sheet name="FFCM-1" sheetId="17" r:id="rId2"/>
    <sheet name="LPL Comparison" sheetId="8" r:id="rId3"/>
    <sheet name="H+O2+M Troe-HPMech-Orginal" sheetId="5" r:id="rId4"/>
    <sheet name="H+O2+Ar Hong 2011_copy" sheetId="16" r:id="rId5"/>
    <sheet name="H+O2+Ar Hong 2011" sheetId="7" r:id="rId6"/>
    <sheet name="H+O2+AR-Burke" sheetId="14" r:id="rId7"/>
    <sheet name="H+O2+AR-USC-Mech II" sheetId="10" r:id="rId8"/>
    <sheet name="H+O2+AR-Aramco" sheetId="11" r:id="rId9"/>
    <sheet name="Comparison-original" sheetId="13" r:id="rId10"/>
    <sheet name="Comparison-COPY" sheetId="15" r:id="rId11"/>
  </sheets>
  <definedNames>
    <definedName name="solver_adj" localSheetId="1" hidden="1">'FFCM-1'!$B$7</definedName>
    <definedName name="solver_adj" localSheetId="5" hidden="1">'H+O2+Ar Hong 2011'!$B$7</definedName>
    <definedName name="solver_adj" localSheetId="4" hidden="1">'H+O2+Ar Hong 2011_copy'!$B$7</definedName>
    <definedName name="solver_adj" localSheetId="3" hidden="1">'H+O2+M Troe-HPMech-Orginal'!$B$7:$B$13</definedName>
    <definedName name="solver_adj" localSheetId="0" hidden="1">'H+O2+M Troe-HPMech-updated'!$B$7:$B$13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drv" localSheetId="3" hidden="1">2</definedName>
    <definedName name="solver_drv" localSheetId="0" hidden="1">2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ng" localSheetId="0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itr" localSheetId="0" hidden="1">2147483647</definedName>
    <definedName name="solver_lhs0" localSheetId="3" hidden="1">'H+O2+M Troe-HPMech-Orginal'!$B$8</definedName>
    <definedName name="solver_lhs0" localSheetId="0" hidden="1">'H+O2+M Troe-HPMech-updated'!$B$8</definedName>
    <definedName name="solver_lhs1" localSheetId="3" hidden="1">'H+O2+M Troe-HPMech-Orginal'!$B$11</definedName>
    <definedName name="solver_lhs1" localSheetId="0" hidden="1">'H+O2+M Troe-HPMech-updated'!$B$11</definedName>
    <definedName name="solver_lhs10" localSheetId="3" hidden="1">'H+O2+M Troe-HPMech-Orginal'!$B$5</definedName>
    <definedName name="solver_lhs10" localSheetId="0" hidden="1">'H+O2+M Troe-HPMech-updated'!$B$5</definedName>
    <definedName name="solver_lhs2" localSheetId="3" hidden="1">'H+O2+M Troe-HPMech-Orginal'!$B$8</definedName>
    <definedName name="solver_lhs2" localSheetId="0" hidden="1">'H+O2+M Troe-HPMech-updated'!$B$8</definedName>
    <definedName name="solver_lhs3" localSheetId="3" hidden="1">'H+O2+M Troe-HPMech-Orginal'!$B$8</definedName>
    <definedName name="solver_lhs3" localSheetId="0" hidden="1">'H+O2+M Troe-HPMech-updated'!$B$8</definedName>
    <definedName name="solver_lhs4" localSheetId="3" hidden="1">'H+O2+M Troe-HPMech-Orginal'!$B$8</definedName>
    <definedName name="solver_lhs4" localSheetId="0" hidden="1">'H+O2+M Troe-HPMech-updated'!$B$8</definedName>
    <definedName name="solver_lhs5" localSheetId="3" hidden="1">'H+O2+M Troe-HPMech-Orginal'!$B$8</definedName>
    <definedName name="solver_lhs5" localSheetId="0" hidden="1">'H+O2+M Troe-HPMech-updated'!$B$8</definedName>
    <definedName name="solver_lhs6" localSheetId="3" hidden="1">'H+O2+M Troe-HPMech-Orginal'!$B$8</definedName>
    <definedName name="solver_lhs6" localSheetId="0" hidden="1">'H+O2+M Troe-HPMech-updated'!$B$8</definedName>
    <definedName name="solver_lhs7" localSheetId="3" hidden="1">'H+O2+M Troe-HPMech-Orginal'!$B$8</definedName>
    <definedName name="solver_lhs7" localSheetId="0" hidden="1">'H+O2+M Troe-HPMech-updated'!$B$8</definedName>
    <definedName name="solver_lhs8" localSheetId="3" hidden="1">'H+O2+M Troe-HPMech-Orginal'!$B$8</definedName>
    <definedName name="solver_lhs8" localSheetId="0" hidden="1">'H+O2+M Troe-HPMech-updated'!$B$8</definedName>
    <definedName name="solver_lhs9" localSheetId="3" hidden="1">'H+O2+M Troe-HPMech-Orginal'!$B$5</definedName>
    <definedName name="solver_lhs9" localSheetId="0" hidden="1">'H+O2+M Troe-HPMech-updated'!$B$5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od" localSheetId="0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um" localSheetId="3" hidden="1">0</definedName>
    <definedName name="solver_num" localSheetId="0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nwt" localSheetId="0" hidden="1">1</definedName>
    <definedName name="solver_opt" localSheetId="1" hidden="1">'FFCM-1'!$S$3</definedName>
    <definedName name="solver_opt" localSheetId="5" hidden="1">'H+O2+Ar Hong 2011'!$S$3</definedName>
    <definedName name="solver_opt" localSheetId="4" hidden="1">'H+O2+Ar Hong 2011_copy'!$S$3</definedName>
    <definedName name="solver_opt" localSheetId="3" hidden="1">'H+O2+M Troe-HPMech-Orginal'!$S$3</definedName>
    <definedName name="solver_opt" localSheetId="0" hidden="1">'H+O2+M Troe-HPMech-updated'!$S$3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bv" localSheetId="0" hidden="1">1</definedName>
    <definedName name="solver_rel0" localSheetId="3" hidden="1">3</definedName>
    <definedName name="solver_rel0" localSheetId="0" hidden="1">3</definedName>
    <definedName name="solver_rel1" localSheetId="3" hidden="1">3</definedName>
    <definedName name="solver_rel1" localSheetId="0" hidden="1">3</definedName>
    <definedName name="solver_rel10" localSheetId="3" hidden="1">3</definedName>
    <definedName name="solver_rel10" localSheetId="0" hidden="1">3</definedName>
    <definedName name="solver_rel2" localSheetId="3" hidden="1">3</definedName>
    <definedName name="solver_rel2" localSheetId="0" hidden="1">3</definedName>
    <definedName name="solver_rel3" localSheetId="3" hidden="1">3</definedName>
    <definedName name="solver_rel3" localSheetId="0" hidden="1">3</definedName>
    <definedName name="solver_rel4" localSheetId="3" hidden="1">3</definedName>
    <definedName name="solver_rel4" localSheetId="0" hidden="1">3</definedName>
    <definedName name="solver_rel5" localSheetId="3" hidden="1">3</definedName>
    <definedName name="solver_rel5" localSheetId="0" hidden="1">3</definedName>
    <definedName name="solver_rel6" localSheetId="3" hidden="1">3</definedName>
    <definedName name="solver_rel6" localSheetId="0" hidden="1">3</definedName>
    <definedName name="solver_rel7" localSheetId="3" hidden="1">3</definedName>
    <definedName name="solver_rel7" localSheetId="0" hidden="1">3</definedName>
    <definedName name="solver_rel8" localSheetId="3" hidden="1">3</definedName>
    <definedName name="solver_rel8" localSheetId="0" hidden="1">3</definedName>
    <definedName name="solver_rel9" localSheetId="3" hidden="1">3</definedName>
    <definedName name="solver_rel9" localSheetId="0" hidden="1">3</definedName>
    <definedName name="solver_rhs0" localSheetId="3" hidden="1">-1.8</definedName>
    <definedName name="solver_rhs0" localSheetId="0" hidden="1">-1.8</definedName>
    <definedName name="solver_rhs1" localSheetId="3" hidden="1">0.1</definedName>
    <definedName name="solver_rhs1" localSheetId="0" hidden="1">0.1</definedName>
    <definedName name="solver_rhs10" localSheetId="3" hidden="1">-2</definedName>
    <definedName name="solver_rhs10" localSheetId="0" hidden="1">-2</definedName>
    <definedName name="solver_rhs2" localSheetId="3" hidden="1">-3</definedName>
    <definedName name="solver_rhs2" localSheetId="0" hidden="1">-3</definedName>
    <definedName name="solver_rhs3" localSheetId="3" hidden="1">-1.8</definedName>
    <definedName name="solver_rhs3" localSheetId="0" hidden="1">-1.8</definedName>
    <definedName name="solver_rhs4" localSheetId="3" hidden="1">-1.8</definedName>
    <definedName name="solver_rhs4" localSheetId="0" hidden="1">-1.8</definedName>
    <definedName name="solver_rhs5" localSheetId="3" hidden="1">-1.8</definedName>
    <definedName name="solver_rhs5" localSheetId="0" hidden="1">-1.8</definedName>
    <definedName name="solver_rhs6" localSheetId="3" hidden="1">-1.8</definedName>
    <definedName name="solver_rhs6" localSheetId="0" hidden="1">-1.8</definedName>
    <definedName name="solver_rhs7" localSheetId="3" hidden="1">-1.8</definedName>
    <definedName name="solver_rhs7" localSheetId="0" hidden="1">-1.8</definedName>
    <definedName name="solver_rhs8" localSheetId="3" hidden="1">-1.8</definedName>
    <definedName name="solver_rhs8" localSheetId="0" hidden="1">-1.8</definedName>
    <definedName name="solver_rhs9" localSheetId="3" hidden="1">-2</definedName>
    <definedName name="solver_rhs9" localSheetId="0" hidden="1">-2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al" localSheetId="3" hidden="1">0.5</definedName>
    <definedName name="solver_val" localSheetId="0" hidden="1">0.5</definedName>
    <definedName name="solver_ver" localSheetId="1" hidden="1">3</definedName>
    <definedName name="solver_ver" localSheetId="5" hidden="1">3</definedName>
    <definedName name="solver_ver" localSheetId="4" hidden="1">3</definedName>
    <definedName name="solver_ver" localSheetId="3" hidden="1">3</definedName>
    <definedName name="solver_ver" localSheetId="0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7" l="1"/>
  <c r="W232" i="19" l="1"/>
  <c r="W233" i="19"/>
  <c r="W234" i="19"/>
  <c r="W235" i="19"/>
  <c r="W236" i="19"/>
  <c r="W237" i="19"/>
  <c r="W238" i="19"/>
  <c r="W239" i="19"/>
  <c r="W240" i="19"/>
  <c r="W241" i="19"/>
  <c r="W242" i="19"/>
  <c r="W243" i="19"/>
  <c r="W244" i="19"/>
  <c r="W246" i="19"/>
  <c r="W247" i="19"/>
  <c r="W231" i="19"/>
  <c r="J325" i="19" l="1"/>
  <c r="H325" i="19" s="1"/>
  <c r="L325" i="19"/>
  <c r="M325" i="19"/>
  <c r="N325" i="19"/>
  <c r="J326" i="19"/>
  <c r="I326" i="19" s="1"/>
  <c r="L326" i="19"/>
  <c r="M326" i="19"/>
  <c r="N326" i="19"/>
  <c r="J327" i="19"/>
  <c r="H327" i="19" s="1"/>
  <c r="L327" i="19"/>
  <c r="M327" i="19"/>
  <c r="N327" i="19"/>
  <c r="J328" i="19"/>
  <c r="H328" i="19" s="1"/>
  <c r="L328" i="19"/>
  <c r="M328" i="19"/>
  <c r="N328" i="19"/>
  <c r="J329" i="19"/>
  <c r="H329" i="19" s="1"/>
  <c r="L329" i="19"/>
  <c r="M329" i="19"/>
  <c r="N329" i="19"/>
  <c r="J330" i="19"/>
  <c r="I330" i="19" s="1"/>
  <c r="L330" i="19"/>
  <c r="M330" i="19"/>
  <c r="N330" i="19"/>
  <c r="J298" i="19"/>
  <c r="I298" i="19" s="1"/>
  <c r="L298" i="19"/>
  <c r="M298" i="19"/>
  <c r="N298" i="19"/>
  <c r="J299" i="19"/>
  <c r="H299" i="19" s="1"/>
  <c r="L299" i="19"/>
  <c r="M299" i="19"/>
  <c r="N299" i="19"/>
  <c r="J300" i="19"/>
  <c r="H300" i="19" s="1"/>
  <c r="L300" i="19"/>
  <c r="M300" i="19"/>
  <c r="N300" i="19"/>
  <c r="J301" i="19"/>
  <c r="H301" i="19" s="1"/>
  <c r="L301" i="19"/>
  <c r="M301" i="19"/>
  <c r="N301" i="19"/>
  <c r="J302" i="19"/>
  <c r="I302" i="19" s="1"/>
  <c r="L302" i="19"/>
  <c r="M302" i="19"/>
  <c r="N302" i="19"/>
  <c r="J303" i="19"/>
  <c r="H303" i="19" s="1"/>
  <c r="L303" i="19"/>
  <c r="M303" i="19"/>
  <c r="N303" i="19"/>
  <c r="J304" i="19"/>
  <c r="H304" i="19" s="1"/>
  <c r="L304" i="19"/>
  <c r="M304" i="19"/>
  <c r="N304" i="19"/>
  <c r="J305" i="19"/>
  <c r="H305" i="19" s="1"/>
  <c r="L305" i="19"/>
  <c r="M305" i="19"/>
  <c r="N305" i="19"/>
  <c r="J306" i="19"/>
  <c r="I306" i="19" s="1"/>
  <c r="L306" i="19"/>
  <c r="M306" i="19"/>
  <c r="N306" i="19"/>
  <c r="J307" i="19"/>
  <c r="H307" i="19" s="1"/>
  <c r="L307" i="19"/>
  <c r="M307" i="19"/>
  <c r="N307" i="19"/>
  <c r="J308" i="19"/>
  <c r="H308" i="19" s="1"/>
  <c r="L308" i="19"/>
  <c r="M308" i="19"/>
  <c r="N308" i="19"/>
  <c r="J309" i="19"/>
  <c r="H309" i="19" s="1"/>
  <c r="L309" i="19"/>
  <c r="M309" i="19"/>
  <c r="N309" i="19"/>
  <c r="J310" i="19"/>
  <c r="I310" i="19" s="1"/>
  <c r="L310" i="19"/>
  <c r="M310" i="19"/>
  <c r="N310" i="19"/>
  <c r="J311" i="19"/>
  <c r="H311" i="19" s="1"/>
  <c r="L311" i="19"/>
  <c r="M311" i="19"/>
  <c r="N311" i="19"/>
  <c r="J312" i="19"/>
  <c r="H312" i="19" s="1"/>
  <c r="L312" i="19"/>
  <c r="M312" i="19"/>
  <c r="N312" i="19"/>
  <c r="J313" i="19"/>
  <c r="H313" i="19" s="1"/>
  <c r="L313" i="19"/>
  <c r="M313" i="19"/>
  <c r="N313" i="19"/>
  <c r="J314" i="19"/>
  <c r="I314" i="19" s="1"/>
  <c r="L314" i="19"/>
  <c r="M314" i="19"/>
  <c r="N314" i="19"/>
  <c r="J315" i="19"/>
  <c r="H315" i="19" s="1"/>
  <c r="L315" i="19"/>
  <c r="M315" i="19"/>
  <c r="N315" i="19"/>
  <c r="J316" i="19"/>
  <c r="H316" i="19" s="1"/>
  <c r="L316" i="19"/>
  <c r="M316" i="19"/>
  <c r="N316" i="19"/>
  <c r="J317" i="19"/>
  <c r="H317" i="19" s="1"/>
  <c r="L317" i="19"/>
  <c r="M317" i="19"/>
  <c r="N317" i="19"/>
  <c r="J318" i="19"/>
  <c r="H318" i="19" s="1"/>
  <c r="L318" i="19"/>
  <c r="M318" i="19"/>
  <c r="N318" i="19"/>
  <c r="J319" i="19"/>
  <c r="H319" i="19" s="1"/>
  <c r="L319" i="19"/>
  <c r="M319" i="19"/>
  <c r="N319" i="19"/>
  <c r="J320" i="19"/>
  <c r="H320" i="19" s="1"/>
  <c r="L320" i="19"/>
  <c r="M320" i="19"/>
  <c r="N320" i="19"/>
  <c r="J321" i="19"/>
  <c r="I321" i="19" s="1"/>
  <c r="L321" i="19"/>
  <c r="M321" i="19"/>
  <c r="N321" i="19"/>
  <c r="J322" i="19"/>
  <c r="H322" i="19" s="1"/>
  <c r="L322" i="19"/>
  <c r="M322" i="19"/>
  <c r="N322" i="19"/>
  <c r="J323" i="19"/>
  <c r="I323" i="19" s="1"/>
  <c r="L323" i="19"/>
  <c r="M323" i="19"/>
  <c r="N323" i="19"/>
  <c r="J324" i="19"/>
  <c r="L324" i="19"/>
  <c r="M324" i="19"/>
  <c r="N324" i="19"/>
  <c r="N297" i="19"/>
  <c r="M297" i="19"/>
  <c r="L297" i="19"/>
  <c r="J297" i="19"/>
  <c r="N370" i="19"/>
  <c r="O370" i="19" s="1"/>
  <c r="M370" i="19"/>
  <c r="L370" i="19"/>
  <c r="J370" i="19"/>
  <c r="H370" i="19"/>
  <c r="G370" i="19"/>
  <c r="F370" i="19"/>
  <c r="D370" i="19"/>
  <c r="E370" i="19" s="1"/>
  <c r="N369" i="19"/>
  <c r="O369" i="19" s="1"/>
  <c r="M369" i="19"/>
  <c r="L369" i="19"/>
  <c r="J369" i="19"/>
  <c r="H369" i="19"/>
  <c r="G369" i="19"/>
  <c r="F369" i="19"/>
  <c r="D369" i="19"/>
  <c r="E369" i="19" s="1"/>
  <c r="N368" i="19"/>
  <c r="O368" i="19" s="1"/>
  <c r="M368" i="19"/>
  <c r="L368" i="19"/>
  <c r="J368" i="19"/>
  <c r="H368" i="19"/>
  <c r="G368" i="19"/>
  <c r="F368" i="19"/>
  <c r="D368" i="19"/>
  <c r="E368" i="19" s="1"/>
  <c r="N367" i="19"/>
  <c r="O367" i="19" s="1"/>
  <c r="M367" i="19"/>
  <c r="L367" i="19"/>
  <c r="J367" i="19"/>
  <c r="H367" i="19"/>
  <c r="G367" i="19"/>
  <c r="F367" i="19"/>
  <c r="D367" i="19"/>
  <c r="E367" i="19" s="1"/>
  <c r="N366" i="19"/>
  <c r="O366" i="19" s="1"/>
  <c r="M366" i="19"/>
  <c r="L366" i="19"/>
  <c r="J366" i="19"/>
  <c r="H366" i="19"/>
  <c r="G366" i="19"/>
  <c r="F366" i="19"/>
  <c r="D366" i="19"/>
  <c r="E366" i="19" s="1"/>
  <c r="N365" i="19"/>
  <c r="O365" i="19" s="1"/>
  <c r="M365" i="19"/>
  <c r="L365" i="19"/>
  <c r="J365" i="19"/>
  <c r="H365" i="19"/>
  <c r="G365" i="19"/>
  <c r="F365" i="19"/>
  <c r="D365" i="19"/>
  <c r="E365" i="19" s="1"/>
  <c r="N364" i="19"/>
  <c r="O364" i="19" s="1"/>
  <c r="M364" i="19"/>
  <c r="L364" i="19"/>
  <c r="J364" i="19"/>
  <c r="H364" i="19"/>
  <c r="G364" i="19"/>
  <c r="F364" i="19"/>
  <c r="D364" i="19"/>
  <c r="E364" i="19" s="1"/>
  <c r="N363" i="19"/>
  <c r="O363" i="19" s="1"/>
  <c r="M363" i="19"/>
  <c r="L363" i="19"/>
  <c r="J363" i="19"/>
  <c r="H363" i="19"/>
  <c r="G363" i="19"/>
  <c r="F363" i="19"/>
  <c r="D363" i="19"/>
  <c r="E363" i="19" s="1"/>
  <c r="N362" i="19"/>
  <c r="O362" i="19" s="1"/>
  <c r="M362" i="19"/>
  <c r="L362" i="19"/>
  <c r="J362" i="19"/>
  <c r="H362" i="19"/>
  <c r="G362" i="19"/>
  <c r="F362" i="19"/>
  <c r="D362" i="19"/>
  <c r="E362" i="19" s="1"/>
  <c r="N361" i="19"/>
  <c r="O361" i="19" s="1"/>
  <c r="M361" i="19"/>
  <c r="L361" i="19"/>
  <c r="J361" i="19"/>
  <c r="H361" i="19"/>
  <c r="G361" i="19"/>
  <c r="F361" i="19"/>
  <c r="D361" i="19"/>
  <c r="E361" i="19" s="1"/>
  <c r="N360" i="19"/>
  <c r="O360" i="19" s="1"/>
  <c r="M360" i="19"/>
  <c r="L360" i="19"/>
  <c r="J360" i="19"/>
  <c r="H360" i="19"/>
  <c r="G360" i="19"/>
  <c r="F360" i="19"/>
  <c r="D360" i="19"/>
  <c r="E360" i="19" s="1"/>
  <c r="M355" i="19"/>
  <c r="J355" i="19"/>
  <c r="N355" i="19" s="1"/>
  <c r="M354" i="19"/>
  <c r="J354" i="19"/>
  <c r="N354" i="19" s="1"/>
  <c r="M353" i="19"/>
  <c r="J353" i="19"/>
  <c r="N353" i="19" s="1"/>
  <c r="M352" i="19"/>
  <c r="J352" i="19"/>
  <c r="N352" i="19" s="1"/>
  <c r="M351" i="19"/>
  <c r="J351" i="19"/>
  <c r="N351" i="19" s="1"/>
  <c r="M350" i="19"/>
  <c r="J350" i="19"/>
  <c r="N350" i="19" s="1"/>
  <c r="M349" i="19"/>
  <c r="J349" i="19"/>
  <c r="N349" i="19" s="1"/>
  <c r="C346" i="19"/>
  <c r="M348" i="19"/>
  <c r="J348" i="19"/>
  <c r="N348" i="19" s="1"/>
  <c r="C345" i="19"/>
  <c r="M347" i="19"/>
  <c r="J347" i="19"/>
  <c r="N347" i="19" s="1"/>
  <c r="C344" i="19"/>
  <c r="M346" i="19"/>
  <c r="J346" i="19"/>
  <c r="N346" i="19" s="1"/>
  <c r="C343" i="19"/>
  <c r="B343" i="19" s="1"/>
  <c r="M345" i="19"/>
  <c r="J345" i="19"/>
  <c r="N345" i="19" s="1"/>
  <c r="C342" i="19"/>
  <c r="M344" i="19"/>
  <c r="J344" i="19"/>
  <c r="N344" i="19" s="1"/>
  <c r="C341" i="19"/>
  <c r="M343" i="19"/>
  <c r="J343" i="19"/>
  <c r="N343" i="19" s="1"/>
  <c r="C340" i="19"/>
  <c r="M342" i="19"/>
  <c r="J342" i="19"/>
  <c r="N342" i="19" s="1"/>
  <c r="C339" i="19"/>
  <c r="M341" i="19"/>
  <c r="J341" i="19"/>
  <c r="N341" i="19" s="1"/>
  <c r="C338" i="19"/>
  <c r="M340" i="19"/>
  <c r="J340" i="19"/>
  <c r="N340" i="19" s="1"/>
  <c r="C337" i="19"/>
  <c r="M339" i="19"/>
  <c r="J339" i="19"/>
  <c r="N339" i="19" s="1"/>
  <c r="C336" i="19"/>
  <c r="M338" i="19"/>
  <c r="J338" i="19"/>
  <c r="N338" i="19" s="1"/>
  <c r="M337" i="19"/>
  <c r="J337" i="19"/>
  <c r="N337" i="19" s="1"/>
  <c r="BD297" i="19"/>
  <c r="BE297" i="19" s="1"/>
  <c r="BD296" i="19"/>
  <c r="BE296" i="19" s="1"/>
  <c r="X295" i="19"/>
  <c r="Y295" i="19" s="1"/>
  <c r="N296" i="19"/>
  <c r="M296" i="19"/>
  <c r="L296" i="19"/>
  <c r="J296" i="19"/>
  <c r="I296" i="19" s="1"/>
  <c r="X294" i="19"/>
  <c r="Y294" i="19" s="1"/>
  <c r="N295" i="19"/>
  <c r="M295" i="19"/>
  <c r="L295" i="19"/>
  <c r="J295" i="19"/>
  <c r="I295" i="19" s="1"/>
  <c r="X293" i="19"/>
  <c r="Y293" i="19" s="1"/>
  <c r="N294" i="19"/>
  <c r="M294" i="19"/>
  <c r="L294" i="19"/>
  <c r="J294" i="19"/>
  <c r="I294" i="19" s="1"/>
  <c r="X292" i="19"/>
  <c r="Y292" i="19" s="1"/>
  <c r="N293" i="19"/>
  <c r="M293" i="19"/>
  <c r="L293" i="19"/>
  <c r="J293" i="19"/>
  <c r="X291" i="19"/>
  <c r="Y291" i="19" s="1"/>
  <c r="N292" i="19"/>
  <c r="M292" i="19"/>
  <c r="L292" i="19"/>
  <c r="J292" i="19"/>
  <c r="I292" i="19" s="1"/>
  <c r="X290" i="19"/>
  <c r="Y290" i="19" s="1"/>
  <c r="N291" i="19"/>
  <c r="M291" i="19"/>
  <c r="L291" i="19"/>
  <c r="J291" i="19"/>
  <c r="I291" i="19" s="1"/>
  <c r="X289" i="19"/>
  <c r="Y289" i="19" s="1"/>
  <c r="N290" i="19"/>
  <c r="M290" i="19"/>
  <c r="L290" i="19"/>
  <c r="J290" i="19"/>
  <c r="I290" i="19" s="1"/>
  <c r="X288" i="19"/>
  <c r="Y288" i="19" s="1"/>
  <c r="N289" i="19"/>
  <c r="M289" i="19"/>
  <c r="L289" i="19"/>
  <c r="J289" i="19"/>
  <c r="X287" i="19"/>
  <c r="Y287" i="19" s="1"/>
  <c r="N288" i="19"/>
  <c r="M288" i="19"/>
  <c r="L288" i="19"/>
  <c r="J288" i="19"/>
  <c r="H288" i="19" s="1"/>
  <c r="N287" i="19"/>
  <c r="M287" i="19"/>
  <c r="L287" i="19"/>
  <c r="J287" i="19"/>
  <c r="I287" i="19" s="1"/>
  <c r="N286" i="19"/>
  <c r="M286" i="19"/>
  <c r="L286" i="19"/>
  <c r="J286" i="19"/>
  <c r="I286" i="19" s="1"/>
  <c r="X284" i="19"/>
  <c r="Y284" i="19" s="1"/>
  <c r="N285" i="19"/>
  <c r="M285" i="19"/>
  <c r="L285" i="19"/>
  <c r="J285" i="19"/>
  <c r="I285" i="19" s="1"/>
  <c r="X283" i="19"/>
  <c r="Y283" i="19" s="1"/>
  <c r="N284" i="19"/>
  <c r="M284" i="19"/>
  <c r="L284" i="19"/>
  <c r="J284" i="19"/>
  <c r="H284" i="19" s="1"/>
  <c r="X282" i="19"/>
  <c r="Y282" i="19" s="1"/>
  <c r="N283" i="19"/>
  <c r="M283" i="19"/>
  <c r="L283" i="19"/>
  <c r="J283" i="19"/>
  <c r="X281" i="19"/>
  <c r="Y281" i="19" s="1"/>
  <c r="N282" i="19"/>
  <c r="M282" i="19"/>
  <c r="L282" i="19"/>
  <c r="J282" i="19"/>
  <c r="I282" i="19" s="1"/>
  <c r="X280" i="19"/>
  <c r="Y280" i="19" s="1"/>
  <c r="N281" i="19"/>
  <c r="M281" i="19"/>
  <c r="L281" i="19"/>
  <c r="J281" i="19"/>
  <c r="I281" i="19" s="1"/>
  <c r="X279" i="19"/>
  <c r="Y279" i="19" s="1"/>
  <c r="N280" i="19"/>
  <c r="M280" i="19"/>
  <c r="L280" i="19"/>
  <c r="J280" i="19"/>
  <c r="H280" i="19" s="1"/>
  <c r="X278" i="19"/>
  <c r="Y278" i="19" s="1"/>
  <c r="N279" i="19"/>
  <c r="M279" i="19"/>
  <c r="L279" i="19"/>
  <c r="J279" i="19"/>
  <c r="X277" i="19"/>
  <c r="Y277" i="19" s="1"/>
  <c r="N278" i="19"/>
  <c r="M278" i="19"/>
  <c r="L278" i="19"/>
  <c r="J278" i="19"/>
  <c r="I278" i="19" s="1"/>
  <c r="X276" i="19"/>
  <c r="Y276" i="19" s="1"/>
  <c r="N277" i="19"/>
  <c r="M277" i="19"/>
  <c r="L277" i="19"/>
  <c r="J277" i="19"/>
  <c r="I277" i="19" s="1"/>
  <c r="X275" i="19"/>
  <c r="Y275" i="19" s="1"/>
  <c r="N276" i="19"/>
  <c r="M276" i="19"/>
  <c r="L276" i="19"/>
  <c r="J276" i="19"/>
  <c r="H276" i="19" s="1"/>
  <c r="X274" i="19"/>
  <c r="Y274" i="19" s="1"/>
  <c r="N275" i="19"/>
  <c r="M275" i="19"/>
  <c r="L275" i="19"/>
  <c r="J275" i="19"/>
  <c r="X273" i="19"/>
  <c r="Y273" i="19" s="1"/>
  <c r="N274" i="19"/>
  <c r="M274" i="19"/>
  <c r="L274" i="19"/>
  <c r="J274" i="19"/>
  <c r="I274" i="19" s="1"/>
  <c r="X272" i="19"/>
  <c r="Y272" i="19" s="1"/>
  <c r="N273" i="19"/>
  <c r="M273" i="19"/>
  <c r="L273" i="19"/>
  <c r="J273" i="19"/>
  <c r="I273" i="19" s="1"/>
  <c r="N272" i="19"/>
  <c r="M272" i="19"/>
  <c r="L272" i="19"/>
  <c r="K272" i="19"/>
  <c r="J272" i="19"/>
  <c r="H272" i="19" s="1"/>
  <c r="N271" i="19"/>
  <c r="M271" i="19"/>
  <c r="L271" i="19"/>
  <c r="K271" i="19"/>
  <c r="J271" i="19"/>
  <c r="I271" i="19" s="1"/>
  <c r="N270" i="19"/>
  <c r="M270" i="19"/>
  <c r="L270" i="19"/>
  <c r="K270" i="19"/>
  <c r="J270" i="19"/>
  <c r="H270" i="19" s="1"/>
  <c r="N269" i="19"/>
  <c r="M269" i="19"/>
  <c r="L269" i="19"/>
  <c r="K269" i="19"/>
  <c r="J269" i="19"/>
  <c r="N268" i="19"/>
  <c r="M268" i="19"/>
  <c r="L268" i="19"/>
  <c r="K268" i="19"/>
  <c r="J268" i="19"/>
  <c r="I268" i="19" s="1"/>
  <c r="N267" i="19"/>
  <c r="M267" i="19"/>
  <c r="L267" i="19"/>
  <c r="K267" i="19"/>
  <c r="J267" i="19"/>
  <c r="H267" i="19" s="1"/>
  <c r="N266" i="19"/>
  <c r="M266" i="19"/>
  <c r="L266" i="19"/>
  <c r="K266" i="19"/>
  <c r="J266" i="19"/>
  <c r="H266" i="19" s="1"/>
  <c r="N265" i="19"/>
  <c r="M265" i="19"/>
  <c r="L265" i="19"/>
  <c r="K265" i="19"/>
  <c r="J265" i="19"/>
  <c r="I265" i="19" s="1"/>
  <c r="N264" i="19"/>
  <c r="M264" i="19"/>
  <c r="L264" i="19"/>
  <c r="K264" i="19"/>
  <c r="J264" i="19"/>
  <c r="H264" i="19" s="1"/>
  <c r="N263" i="19"/>
  <c r="M263" i="19"/>
  <c r="L263" i="19"/>
  <c r="K263" i="19"/>
  <c r="J263" i="19"/>
  <c r="I263" i="19" s="1"/>
  <c r="N262" i="19"/>
  <c r="M262" i="19"/>
  <c r="L262" i="19"/>
  <c r="K262" i="19"/>
  <c r="J262" i="19"/>
  <c r="H262" i="19" s="1"/>
  <c r="N261" i="19"/>
  <c r="M261" i="19"/>
  <c r="L261" i="19"/>
  <c r="K261" i="19"/>
  <c r="J261" i="19"/>
  <c r="N260" i="19"/>
  <c r="M260" i="19"/>
  <c r="L260" i="19"/>
  <c r="K260" i="19"/>
  <c r="J260" i="19"/>
  <c r="H260" i="19" s="1"/>
  <c r="N259" i="19"/>
  <c r="M259" i="19"/>
  <c r="L259" i="19"/>
  <c r="K259" i="19"/>
  <c r="J259" i="19"/>
  <c r="H259" i="19" s="1"/>
  <c r="N258" i="19"/>
  <c r="M258" i="19"/>
  <c r="L258" i="19"/>
  <c r="K258" i="19"/>
  <c r="J258" i="19"/>
  <c r="H258" i="19" s="1"/>
  <c r="N257" i="19"/>
  <c r="M257" i="19"/>
  <c r="L257" i="19"/>
  <c r="K257" i="19"/>
  <c r="J257" i="19"/>
  <c r="H257" i="19" s="1"/>
  <c r="N256" i="19"/>
  <c r="M256" i="19"/>
  <c r="L256" i="19"/>
  <c r="K256" i="19"/>
  <c r="J256" i="19"/>
  <c r="H256" i="19" s="1"/>
  <c r="N255" i="19"/>
  <c r="M255" i="19"/>
  <c r="L255" i="19"/>
  <c r="K255" i="19"/>
  <c r="J255" i="19"/>
  <c r="N254" i="19"/>
  <c r="M254" i="19"/>
  <c r="L254" i="19"/>
  <c r="K254" i="19"/>
  <c r="J254" i="19"/>
  <c r="H254" i="19" s="1"/>
  <c r="N253" i="19"/>
  <c r="M253" i="19"/>
  <c r="L253" i="19"/>
  <c r="K253" i="19"/>
  <c r="J253" i="19"/>
  <c r="I253" i="19" s="1"/>
  <c r="N252" i="19"/>
  <c r="M252" i="19"/>
  <c r="L252" i="19"/>
  <c r="K252" i="19"/>
  <c r="J252" i="19"/>
  <c r="H252" i="19" s="1"/>
  <c r="N251" i="19"/>
  <c r="M251" i="19"/>
  <c r="L251" i="19"/>
  <c r="K251" i="19"/>
  <c r="J251" i="19"/>
  <c r="I251" i="19" s="1"/>
  <c r="N250" i="19"/>
  <c r="M250" i="19"/>
  <c r="L250" i="19"/>
  <c r="K250" i="19"/>
  <c r="J250" i="19"/>
  <c r="H250" i="19" s="1"/>
  <c r="N249" i="19"/>
  <c r="M249" i="19"/>
  <c r="L249" i="19"/>
  <c r="K249" i="19"/>
  <c r="J249" i="19"/>
  <c r="V247" i="19"/>
  <c r="N248" i="19"/>
  <c r="M248" i="19"/>
  <c r="L248" i="19"/>
  <c r="K248" i="19"/>
  <c r="J248" i="19"/>
  <c r="H248" i="19" s="1"/>
  <c r="V246" i="19"/>
  <c r="N247" i="19"/>
  <c r="M247" i="19"/>
  <c r="L247" i="19"/>
  <c r="K247" i="19"/>
  <c r="J247" i="19"/>
  <c r="I247" i="19" s="1"/>
  <c r="N246" i="19"/>
  <c r="M246" i="19"/>
  <c r="L246" i="19"/>
  <c r="K246" i="19"/>
  <c r="J246" i="19"/>
  <c r="H246" i="19" s="1"/>
  <c r="V244" i="19"/>
  <c r="N245" i="19"/>
  <c r="M245" i="19"/>
  <c r="L245" i="19"/>
  <c r="K245" i="19"/>
  <c r="J245" i="19"/>
  <c r="H245" i="19" s="1"/>
  <c r="V243" i="19"/>
  <c r="N244" i="19"/>
  <c r="M244" i="19"/>
  <c r="L244" i="19"/>
  <c r="K244" i="19"/>
  <c r="J244" i="19"/>
  <c r="H244" i="19" s="1"/>
  <c r="V242" i="19"/>
  <c r="N243" i="19"/>
  <c r="M243" i="19"/>
  <c r="L243" i="19"/>
  <c r="K243" i="19"/>
  <c r="J243" i="19"/>
  <c r="H243" i="19" s="1"/>
  <c r="V241" i="19"/>
  <c r="N242" i="19"/>
  <c r="M242" i="19"/>
  <c r="L242" i="19"/>
  <c r="K242" i="19"/>
  <c r="J242" i="19"/>
  <c r="H242" i="19" s="1"/>
  <c r="V240" i="19"/>
  <c r="N241" i="19"/>
  <c r="M241" i="19"/>
  <c r="L241" i="19"/>
  <c r="K241" i="19"/>
  <c r="J241" i="19"/>
  <c r="H241" i="19" s="1"/>
  <c r="V239" i="19"/>
  <c r="N240" i="19"/>
  <c r="M240" i="19"/>
  <c r="L240" i="19"/>
  <c r="K240" i="19"/>
  <c r="J240" i="19"/>
  <c r="H240" i="19" s="1"/>
  <c r="V238" i="19"/>
  <c r="N239" i="19"/>
  <c r="M239" i="19"/>
  <c r="L239" i="19"/>
  <c r="K239" i="19"/>
  <c r="J239" i="19"/>
  <c r="H239" i="19" s="1"/>
  <c r="V237" i="19"/>
  <c r="N238" i="19"/>
  <c r="M238" i="19"/>
  <c r="L238" i="19"/>
  <c r="K238" i="19"/>
  <c r="J238" i="19"/>
  <c r="H238" i="19" s="1"/>
  <c r="V236" i="19"/>
  <c r="N237" i="19"/>
  <c r="M237" i="19"/>
  <c r="L237" i="19"/>
  <c r="K237" i="19"/>
  <c r="J237" i="19"/>
  <c r="H237" i="19" s="1"/>
  <c r="V235" i="19"/>
  <c r="N236" i="19"/>
  <c r="M236" i="19"/>
  <c r="L236" i="19"/>
  <c r="K236" i="19"/>
  <c r="J236" i="19"/>
  <c r="I236" i="19" s="1"/>
  <c r="V234" i="19"/>
  <c r="N235" i="19"/>
  <c r="M235" i="19"/>
  <c r="L235" i="19"/>
  <c r="K235" i="19"/>
  <c r="J235" i="19"/>
  <c r="H235" i="19" s="1"/>
  <c r="V233" i="19"/>
  <c r="N234" i="19"/>
  <c r="M234" i="19"/>
  <c r="L234" i="19"/>
  <c r="K234" i="19"/>
  <c r="J234" i="19"/>
  <c r="H234" i="19" s="1"/>
  <c r="V232" i="19"/>
  <c r="N233" i="19"/>
  <c r="M233" i="19"/>
  <c r="L233" i="19"/>
  <c r="K233" i="19"/>
  <c r="J233" i="19"/>
  <c r="H233" i="19" s="1"/>
  <c r="V231" i="19"/>
  <c r="N232" i="19"/>
  <c r="M232" i="19"/>
  <c r="L232" i="19"/>
  <c r="J232" i="19"/>
  <c r="H232" i="19" s="1"/>
  <c r="N231" i="19"/>
  <c r="M231" i="19"/>
  <c r="L231" i="19"/>
  <c r="J231" i="19"/>
  <c r="I231" i="19" s="1"/>
  <c r="W229" i="19"/>
  <c r="X229" i="19" s="1"/>
  <c r="N230" i="19"/>
  <c r="M230" i="19"/>
  <c r="L230" i="19"/>
  <c r="J230" i="19"/>
  <c r="H230" i="19" s="1"/>
  <c r="W228" i="19"/>
  <c r="X228" i="19" s="1"/>
  <c r="N229" i="19"/>
  <c r="M229" i="19"/>
  <c r="L229" i="19"/>
  <c r="J229" i="19"/>
  <c r="I229" i="19" s="1"/>
  <c r="W227" i="19"/>
  <c r="X227" i="19" s="1"/>
  <c r="N228" i="19"/>
  <c r="M228" i="19"/>
  <c r="L228" i="19"/>
  <c r="J228" i="19"/>
  <c r="I228" i="19" s="1"/>
  <c r="W226" i="19"/>
  <c r="X226" i="19" s="1"/>
  <c r="N227" i="19"/>
  <c r="M227" i="19"/>
  <c r="L227" i="19"/>
  <c r="J227" i="19"/>
  <c r="W225" i="19"/>
  <c r="X225" i="19" s="1"/>
  <c r="N226" i="19"/>
  <c r="M226" i="19"/>
  <c r="L226" i="19"/>
  <c r="J226" i="19"/>
  <c r="H226" i="19" s="1"/>
  <c r="W224" i="19"/>
  <c r="X224" i="19" s="1"/>
  <c r="N225" i="19"/>
  <c r="M225" i="19"/>
  <c r="L225" i="19"/>
  <c r="J225" i="19"/>
  <c r="I225" i="19" s="1"/>
  <c r="W223" i="19"/>
  <c r="X223" i="19" s="1"/>
  <c r="N224" i="19"/>
  <c r="M224" i="19"/>
  <c r="L224" i="19"/>
  <c r="J224" i="19"/>
  <c r="I224" i="19" s="1"/>
  <c r="N223" i="19"/>
  <c r="M223" i="19"/>
  <c r="L223" i="19"/>
  <c r="J223" i="19"/>
  <c r="I223" i="19" s="1"/>
  <c r="W221" i="19"/>
  <c r="N222" i="19"/>
  <c r="M222" i="19"/>
  <c r="L222" i="19"/>
  <c r="J222" i="19"/>
  <c r="W220" i="19"/>
  <c r="N221" i="19"/>
  <c r="M221" i="19"/>
  <c r="L221" i="19"/>
  <c r="J221" i="19"/>
  <c r="I221" i="19" s="1"/>
  <c r="W219" i="19"/>
  <c r="N220" i="19"/>
  <c r="M220" i="19"/>
  <c r="L220" i="19"/>
  <c r="J220" i="19"/>
  <c r="I220" i="19" s="1"/>
  <c r="W218" i="19"/>
  <c r="N219" i="19"/>
  <c r="M219" i="19"/>
  <c r="L219" i="19"/>
  <c r="J219" i="19"/>
  <c r="I219" i="19" s="1"/>
  <c r="N218" i="19"/>
  <c r="M218" i="19"/>
  <c r="L218" i="19"/>
  <c r="J218" i="19"/>
  <c r="H218" i="19" s="1"/>
  <c r="N217" i="19"/>
  <c r="M217" i="19"/>
  <c r="L217" i="19"/>
  <c r="J217" i="19"/>
  <c r="I217" i="19" s="1"/>
  <c r="N216" i="19"/>
  <c r="M216" i="19"/>
  <c r="L216" i="19"/>
  <c r="J216" i="19"/>
  <c r="H216" i="19" s="1"/>
  <c r="W214" i="19"/>
  <c r="N215" i="19"/>
  <c r="M215" i="19"/>
  <c r="L215" i="19"/>
  <c r="J215" i="19"/>
  <c r="H215" i="19" s="1"/>
  <c r="W213" i="19"/>
  <c r="N214" i="19"/>
  <c r="M214" i="19"/>
  <c r="L214" i="19"/>
  <c r="J214" i="19"/>
  <c r="W212" i="19"/>
  <c r="N213" i="19"/>
  <c r="M213" i="19"/>
  <c r="L213" i="19"/>
  <c r="J213" i="19"/>
  <c r="H213" i="19" s="1"/>
  <c r="W211" i="19"/>
  <c r="N212" i="19"/>
  <c r="M212" i="19"/>
  <c r="L212" i="19"/>
  <c r="J212" i="19"/>
  <c r="I212" i="19" s="1"/>
  <c r="W210" i="19"/>
  <c r="R211" i="19"/>
  <c r="N211" i="19"/>
  <c r="M211" i="19"/>
  <c r="L211" i="19"/>
  <c r="K211" i="19"/>
  <c r="J211" i="19"/>
  <c r="I211" i="19" s="1"/>
  <c r="W209" i="19"/>
  <c r="R210" i="19"/>
  <c r="N210" i="19"/>
  <c r="M210" i="19"/>
  <c r="L210" i="19"/>
  <c r="K210" i="19"/>
  <c r="J210" i="19"/>
  <c r="W208" i="19"/>
  <c r="R209" i="19"/>
  <c r="N209" i="19"/>
  <c r="M209" i="19"/>
  <c r="L209" i="19"/>
  <c r="K209" i="19"/>
  <c r="J209" i="19"/>
  <c r="H209" i="19" s="1"/>
  <c r="W207" i="19"/>
  <c r="R208" i="19"/>
  <c r="N208" i="19"/>
  <c r="M208" i="19"/>
  <c r="L208" i="19"/>
  <c r="K208" i="19"/>
  <c r="J208" i="19"/>
  <c r="I208" i="19" s="1"/>
  <c r="R207" i="19"/>
  <c r="N207" i="19"/>
  <c r="M207" i="19"/>
  <c r="L207" i="19"/>
  <c r="K207" i="19"/>
  <c r="J207" i="19"/>
  <c r="I207" i="19" s="1"/>
  <c r="W205" i="19"/>
  <c r="R206" i="19"/>
  <c r="N206" i="19"/>
  <c r="M206" i="19"/>
  <c r="L206" i="19"/>
  <c r="K206" i="19"/>
  <c r="J206" i="19"/>
  <c r="H206" i="19" s="1"/>
  <c r="R205" i="19"/>
  <c r="N205" i="19"/>
  <c r="M205" i="19"/>
  <c r="L205" i="19"/>
  <c r="K205" i="19"/>
  <c r="J205" i="19"/>
  <c r="I205" i="19" s="1"/>
  <c r="W203" i="19"/>
  <c r="R204" i="19"/>
  <c r="N204" i="19"/>
  <c r="M204" i="19"/>
  <c r="L204" i="19"/>
  <c r="K204" i="19"/>
  <c r="J204" i="19"/>
  <c r="W202" i="19"/>
  <c r="R202" i="19"/>
  <c r="N202" i="19"/>
  <c r="M202" i="19"/>
  <c r="L202" i="19"/>
  <c r="K202" i="19"/>
  <c r="J202" i="19"/>
  <c r="H202" i="19" s="1"/>
  <c r="W201" i="19"/>
  <c r="R201" i="19"/>
  <c r="N201" i="19"/>
  <c r="M201" i="19"/>
  <c r="L201" i="19"/>
  <c r="K201" i="19"/>
  <c r="J201" i="19"/>
  <c r="I201" i="19" s="1"/>
  <c r="W200" i="19"/>
  <c r="R200" i="19"/>
  <c r="N200" i="19"/>
  <c r="M200" i="19"/>
  <c r="L200" i="19"/>
  <c r="K200" i="19"/>
  <c r="J200" i="19"/>
  <c r="I200" i="19" s="1"/>
  <c r="W199" i="19"/>
  <c r="R199" i="19"/>
  <c r="N199" i="19"/>
  <c r="M199" i="19"/>
  <c r="L199" i="19"/>
  <c r="K199" i="19"/>
  <c r="J199" i="19"/>
  <c r="I199" i="19" s="1"/>
  <c r="W198" i="19"/>
  <c r="R198" i="19"/>
  <c r="N198" i="19"/>
  <c r="M198" i="19"/>
  <c r="L198" i="19"/>
  <c r="K198" i="19"/>
  <c r="J198" i="19"/>
  <c r="H198" i="19" s="1"/>
  <c r="W197" i="19"/>
  <c r="R197" i="19"/>
  <c r="N197" i="19"/>
  <c r="M197" i="19"/>
  <c r="L197" i="19"/>
  <c r="K197" i="19"/>
  <c r="J197" i="19"/>
  <c r="I197" i="19" s="1"/>
  <c r="W196" i="19"/>
  <c r="R196" i="19"/>
  <c r="N196" i="19"/>
  <c r="M196" i="19"/>
  <c r="L196" i="19"/>
  <c r="K196" i="19"/>
  <c r="J196" i="19"/>
  <c r="I196" i="19" s="1"/>
  <c r="W195" i="19"/>
  <c r="R195" i="19"/>
  <c r="N195" i="19"/>
  <c r="M195" i="19"/>
  <c r="L195" i="19"/>
  <c r="K195" i="19"/>
  <c r="J195" i="19"/>
  <c r="W194" i="19"/>
  <c r="R194" i="19"/>
  <c r="N194" i="19"/>
  <c r="M194" i="19"/>
  <c r="L194" i="19"/>
  <c r="K194" i="19"/>
  <c r="J194" i="19"/>
  <c r="I194" i="19" s="1"/>
  <c r="W193" i="19"/>
  <c r="R193" i="19"/>
  <c r="N193" i="19"/>
  <c r="M193" i="19"/>
  <c r="L193" i="19"/>
  <c r="K193" i="19"/>
  <c r="J193" i="19"/>
  <c r="I193" i="19" s="1"/>
  <c r="R192" i="19"/>
  <c r="N192" i="19"/>
  <c r="M192" i="19"/>
  <c r="L192" i="19"/>
  <c r="K192" i="19"/>
  <c r="J192" i="19"/>
  <c r="I192" i="19" s="1"/>
  <c r="W191" i="19"/>
  <c r="R191" i="19"/>
  <c r="N191" i="19"/>
  <c r="M191" i="19"/>
  <c r="L191" i="19"/>
  <c r="K191" i="19"/>
  <c r="J191" i="19"/>
  <c r="H191" i="19" s="1"/>
  <c r="W190" i="19"/>
  <c r="R190" i="19"/>
  <c r="N190" i="19"/>
  <c r="M190" i="19"/>
  <c r="L190" i="19"/>
  <c r="K190" i="19"/>
  <c r="J190" i="19"/>
  <c r="I190" i="19" s="1"/>
  <c r="R189" i="19"/>
  <c r="N189" i="19"/>
  <c r="M189" i="19"/>
  <c r="L189" i="19"/>
  <c r="K189" i="19"/>
  <c r="J189" i="19"/>
  <c r="H189" i="19" s="1"/>
  <c r="N187" i="19"/>
  <c r="M187" i="19"/>
  <c r="L187" i="19"/>
  <c r="J187" i="19"/>
  <c r="I187" i="19" s="1"/>
  <c r="N186" i="19"/>
  <c r="M186" i="19"/>
  <c r="L186" i="19"/>
  <c r="J186" i="19"/>
  <c r="H186" i="19" s="1"/>
  <c r="N185" i="19"/>
  <c r="M185" i="19"/>
  <c r="L185" i="19"/>
  <c r="J185" i="19"/>
  <c r="I185" i="19" s="1"/>
  <c r="N184" i="19"/>
  <c r="M184" i="19"/>
  <c r="L184" i="19"/>
  <c r="J184" i="19"/>
  <c r="H184" i="19" s="1"/>
  <c r="N183" i="19"/>
  <c r="M183" i="19"/>
  <c r="L183" i="19"/>
  <c r="J183" i="19"/>
  <c r="I183" i="19" s="1"/>
  <c r="N182" i="19"/>
  <c r="M182" i="19"/>
  <c r="L182" i="19"/>
  <c r="J182" i="19"/>
  <c r="H182" i="19" s="1"/>
  <c r="N181" i="19"/>
  <c r="M181" i="19"/>
  <c r="L181" i="19"/>
  <c r="J181" i="19"/>
  <c r="H181" i="19" s="1"/>
  <c r="N180" i="19"/>
  <c r="M180" i="19"/>
  <c r="L180" i="19"/>
  <c r="J180" i="19"/>
  <c r="H180" i="19" s="1"/>
  <c r="R179" i="19"/>
  <c r="N179" i="19"/>
  <c r="M179" i="19"/>
  <c r="L179" i="19"/>
  <c r="J179" i="19"/>
  <c r="I179" i="19" s="1"/>
  <c r="R178" i="19"/>
  <c r="N178" i="19"/>
  <c r="M178" i="19"/>
  <c r="L178" i="19"/>
  <c r="J178" i="19"/>
  <c r="H178" i="19" s="1"/>
  <c r="R177" i="19"/>
  <c r="N177" i="19"/>
  <c r="M177" i="19"/>
  <c r="L177" i="19"/>
  <c r="J177" i="19"/>
  <c r="H177" i="19" s="1"/>
  <c r="R176" i="19"/>
  <c r="N176" i="19"/>
  <c r="M176" i="19"/>
  <c r="L176" i="19"/>
  <c r="J176" i="19"/>
  <c r="H176" i="19" s="1"/>
  <c r="R175" i="19"/>
  <c r="N175" i="19"/>
  <c r="M175" i="19"/>
  <c r="L175" i="19"/>
  <c r="J175" i="19"/>
  <c r="P174" i="19"/>
  <c r="K179" i="19" s="1"/>
  <c r="N173" i="19"/>
  <c r="M173" i="19"/>
  <c r="L173" i="19"/>
  <c r="J173" i="19"/>
  <c r="H173" i="19" s="1"/>
  <c r="N172" i="19"/>
  <c r="M172" i="19"/>
  <c r="L172" i="19"/>
  <c r="J172" i="19"/>
  <c r="H172" i="19" s="1"/>
  <c r="N171" i="19"/>
  <c r="M171" i="19"/>
  <c r="L171" i="19"/>
  <c r="J171" i="19"/>
  <c r="H171" i="19" s="1"/>
  <c r="N170" i="19"/>
  <c r="M170" i="19"/>
  <c r="L170" i="19"/>
  <c r="J170" i="19"/>
  <c r="H170" i="19" s="1"/>
  <c r="N169" i="19"/>
  <c r="M169" i="19"/>
  <c r="L169" i="19"/>
  <c r="J169" i="19"/>
  <c r="H169" i="19" s="1"/>
  <c r="N168" i="19"/>
  <c r="M168" i="19"/>
  <c r="L168" i="19"/>
  <c r="J168" i="19"/>
  <c r="H168" i="19" s="1"/>
  <c r="N167" i="19"/>
  <c r="M167" i="19"/>
  <c r="L167" i="19"/>
  <c r="J167" i="19"/>
  <c r="H167" i="19" s="1"/>
  <c r="N166" i="19"/>
  <c r="M166" i="19"/>
  <c r="L166" i="19"/>
  <c r="J166" i="19"/>
  <c r="H166" i="19" s="1"/>
  <c r="N165" i="19"/>
  <c r="M165" i="19"/>
  <c r="L165" i="19"/>
  <c r="J165" i="19"/>
  <c r="H165" i="19" s="1"/>
  <c r="R164" i="19"/>
  <c r="N164" i="19"/>
  <c r="M164" i="19"/>
  <c r="L164" i="19"/>
  <c r="J164" i="19"/>
  <c r="I164" i="19" s="1"/>
  <c r="R163" i="19"/>
  <c r="N163" i="19"/>
  <c r="M163" i="19"/>
  <c r="L163" i="19"/>
  <c r="J163" i="19"/>
  <c r="H163" i="19" s="1"/>
  <c r="R162" i="19"/>
  <c r="N162" i="19"/>
  <c r="M162" i="19"/>
  <c r="L162" i="19"/>
  <c r="J162" i="19"/>
  <c r="R161" i="19"/>
  <c r="N161" i="19"/>
  <c r="M161" i="19"/>
  <c r="L161" i="19"/>
  <c r="J161" i="19"/>
  <c r="I161" i="19" s="1"/>
  <c r="P160" i="19"/>
  <c r="K172" i="19" s="1"/>
  <c r="N159" i="19"/>
  <c r="M159" i="19"/>
  <c r="L159" i="19"/>
  <c r="J159" i="19"/>
  <c r="H159" i="19" s="1"/>
  <c r="N158" i="19"/>
  <c r="M158" i="19"/>
  <c r="L158" i="19"/>
  <c r="K158" i="19"/>
  <c r="J158" i="19"/>
  <c r="I158" i="19" s="1"/>
  <c r="N157" i="19"/>
  <c r="M157" i="19"/>
  <c r="L157" i="19"/>
  <c r="K157" i="19"/>
  <c r="J157" i="19"/>
  <c r="H157" i="19" s="1"/>
  <c r="N156" i="19"/>
  <c r="M156" i="19"/>
  <c r="L156" i="19"/>
  <c r="K156" i="19"/>
  <c r="J156" i="19"/>
  <c r="I156" i="19" s="1"/>
  <c r="N155" i="19"/>
  <c r="M155" i="19"/>
  <c r="L155" i="19"/>
  <c r="K155" i="19"/>
  <c r="J155" i="19"/>
  <c r="I155" i="19" s="1"/>
  <c r="N154" i="19"/>
  <c r="M154" i="19"/>
  <c r="L154" i="19"/>
  <c r="K154" i="19"/>
  <c r="J154" i="19"/>
  <c r="I154" i="19" s="1"/>
  <c r="N153" i="19"/>
  <c r="M153" i="19"/>
  <c r="L153" i="19"/>
  <c r="K153" i="19"/>
  <c r="J153" i="19"/>
  <c r="I153" i="19" s="1"/>
  <c r="N152" i="19"/>
  <c r="M152" i="19"/>
  <c r="L152" i="19"/>
  <c r="K152" i="19"/>
  <c r="J152" i="19"/>
  <c r="I152" i="19" s="1"/>
  <c r="N151" i="19"/>
  <c r="M151" i="19"/>
  <c r="L151" i="19"/>
  <c r="K151" i="19"/>
  <c r="J151" i="19"/>
  <c r="H151" i="19" s="1"/>
  <c r="R150" i="19"/>
  <c r="N150" i="19"/>
  <c r="M150" i="19"/>
  <c r="L150" i="19"/>
  <c r="J150" i="19"/>
  <c r="I150" i="19" s="1"/>
  <c r="R149" i="19"/>
  <c r="N149" i="19"/>
  <c r="M149" i="19"/>
  <c r="L149" i="19"/>
  <c r="J149" i="19"/>
  <c r="I149" i="19" s="1"/>
  <c r="R148" i="19"/>
  <c r="N148" i="19"/>
  <c r="M148" i="19"/>
  <c r="L148" i="19"/>
  <c r="J148" i="19"/>
  <c r="I148" i="19" s="1"/>
  <c r="R147" i="19"/>
  <c r="N147" i="19"/>
  <c r="M147" i="19"/>
  <c r="L147" i="19"/>
  <c r="J147" i="19"/>
  <c r="H147" i="19" s="1"/>
  <c r="P146" i="19"/>
  <c r="K149" i="19" s="1"/>
  <c r="N145" i="19"/>
  <c r="M145" i="19"/>
  <c r="L145" i="19"/>
  <c r="J145" i="19"/>
  <c r="N144" i="19"/>
  <c r="M144" i="19"/>
  <c r="L144" i="19"/>
  <c r="J144" i="19"/>
  <c r="N143" i="19"/>
  <c r="M143" i="19"/>
  <c r="L143" i="19"/>
  <c r="J143" i="19"/>
  <c r="N142" i="19"/>
  <c r="M142" i="19"/>
  <c r="L142" i="19"/>
  <c r="J142" i="19"/>
  <c r="N141" i="19"/>
  <c r="M141" i="19"/>
  <c r="L141" i="19"/>
  <c r="J141" i="19"/>
  <c r="N140" i="19"/>
  <c r="M140" i="19"/>
  <c r="L140" i="19"/>
  <c r="J140" i="19"/>
  <c r="N139" i="19"/>
  <c r="M139" i="19"/>
  <c r="L139" i="19"/>
  <c r="J139" i="19"/>
  <c r="N138" i="19"/>
  <c r="M138" i="19"/>
  <c r="L138" i="19"/>
  <c r="J138" i="19"/>
  <c r="N137" i="19"/>
  <c r="M137" i="19"/>
  <c r="L137" i="19"/>
  <c r="J137" i="19"/>
  <c r="N136" i="19"/>
  <c r="M136" i="19"/>
  <c r="L136" i="19"/>
  <c r="J136" i="19"/>
  <c r="R135" i="19"/>
  <c r="N135" i="19"/>
  <c r="M135" i="19"/>
  <c r="L135" i="19"/>
  <c r="J135" i="19"/>
  <c r="H135" i="19" s="1"/>
  <c r="N134" i="19"/>
  <c r="M134" i="19"/>
  <c r="L134" i="19"/>
  <c r="J134" i="19"/>
  <c r="I134" i="19" s="1"/>
  <c r="N133" i="19"/>
  <c r="M133" i="19"/>
  <c r="L133" i="19"/>
  <c r="J133" i="19"/>
  <c r="H133" i="19" s="1"/>
  <c r="P132" i="19"/>
  <c r="K134" i="19" s="1"/>
  <c r="N131" i="19"/>
  <c r="M131" i="19"/>
  <c r="L131" i="19"/>
  <c r="K131" i="19"/>
  <c r="J131" i="19"/>
  <c r="I131" i="19" s="1"/>
  <c r="N130" i="19"/>
  <c r="M130" i="19"/>
  <c r="L130" i="19"/>
  <c r="K130" i="19"/>
  <c r="J130" i="19"/>
  <c r="H130" i="19" s="1"/>
  <c r="N129" i="19"/>
  <c r="M129" i="19"/>
  <c r="L129" i="19"/>
  <c r="K129" i="19"/>
  <c r="J129" i="19"/>
  <c r="I129" i="19" s="1"/>
  <c r="N128" i="19"/>
  <c r="M128" i="19"/>
  <c r="L128" i="19"/>
  <c r="K128" i="19"/>
  <c r="J128" i="19"/>
  <c r="I128" i="19" s="1"/>
  <c r="N127" i="19"/>
  <c r="M127" i="19"/>
  <c r="L127" i="19"/>
  <c r="K127" i="19"/>
  <c r="J127" i="19"/>
  <c r="I127" i="19" s="1"/>
  <c r="N126" i="19"/>
  <c r="M126" i="19"/>
  <c r="L126" i="19"/>
  <c r="K126" i="19"/>
  <c r="J126" i="19"/>
  <c r="I126" i="19" s="1"/>
  <c r="N125" i="19"/>
  <c r="M125" i="19"/>
  <c r="L125" i="19"/>
  <c r="K125" i="19"/>
  <c r="J125" i="19"/>
  <c r="I125" i="19" s="1"/>
  <c r="N124" i="19"/>
  <c r="M124" i="19"/>
  <c r="L124" i="19"/>
  <c r="K124" i="19"/>
  <c r="J124" i="19"/>
  <c r="I124" i="19" s="1"/>
  <c r="N123" i="19"/>
  <c r="M123" i="19"/>
  <c r="L123" i="19"/>
  <c r="K123" i="19"/>
  <c r="J123" i="19"/>
  <c r="I123" i="19" s="1"/>
  <c r="N122" i="19"/>
  <c r="M122" i="19"/>
  <c r="L122" i="19"/>
  <c r="K122" i="19"/>
  <c r="J122" i="19"/>
  <c r="I122" i="19" s="1"/>
  <c r="N121" i="19"/>
  <c r="M121" i="19"/>
  <c r="L121" i="19"/>
  <c r="K121" i="19"/>
  <c r="J121" i="19"/>
  <c r="R120" i="19"/>
  <c r="N120" i="19"/>
  <c r="M120" i="19"/>
  <c r="L120" i="19"/>
  <c r="J120" i="19"/>
  <c r="I120" i="19" s="1"/>
  <c r="N119" i="19"/>
  <c r="M119" i="19"/>
  <c r="L119" i="19"/>
  <c r="J119" i="19"/>
  <c r="H119" i="19" s="1"/>
  <c r="P118" i="19"/>
  <c r="K119" i="19" s="1"/>
  <c r="N117" i="19"/>
  <c r="M117" i="19"/>
  <c r="L117" i="19"/>
  <c r="K117" i="19"/>
  <c r="J117" i="19"/>
  <c r="I117" i="19" s="1"/>
  <c r="N116" i="19"/>
  <c r="M116" i="19"/>
  <c r="L116" i="19"/>
  <c r="K116" i="19"/>
  <c r="J116" i="19"/>
  <c r="H116" i="19" s="1"/>
  <c r="N115" i="19"/>
  <c r="M115" i="19"/>
  <c r="L115" i="19"/>
  <c r="K115" i="19"/>
  <c r="J115" i="19"/>
  <c r="H115" i="19" s="1"/>
  <c r="N114" i="19"/>
  <c r="M114" i="19"/>
  <c r="L114" i="19"/>
  <c r="K114" i="19"/>
  <c r="J114" i="19"/>
  <c r="N113" i="19"/>
  <c r="M113" i="19"/>
  <c r="L113" i="19"/>
  <c r="K113" i="19"/>
  <c r="J113" i="19"/>
  <c r="H113" i="19" s="1"/>
  <c r="N112" i="19"/>
  <c r="M112" i="19"/>
  <c r="L112" i="19"/>
  <c r="K112" i="19"/>
  <c r="J112" i="19"/>
  <c r="H112" i="19" s="1"/>
  <c r="N111" i="19"/>
  <c r="M111" i="19"/>
  <c r="L111" i="19"/>
  <c r="K111" i="19"/>
  <c r="J111" i="19"/>
  <c r="I111" i="19" s="1"/>
  <c r="N110" i="19"/>
  <c r="M110" i="19"/>
  <c r="L110" i="19"/>
  <c r="K110" i="19"/>
  <c r="J110" i="19"/>
  <c r="H110" i="19" s="1"/>
  <c r="N109" i="19"/>
  <c r="M109" i="19"/>
  <c r="L109" i="19"/>
  <c r="K109" i="19"/>
  <c r="J109" i="19"/>
  <c r="I109" i="19" s="1"/>
  <c r="N108" i="19"/>
  <c r="M108" i="19"/>
  <c r="L108" i="19"/>
  <c r="K108" i="19"/>
  <c r="J108" i="19"/>
  <c r="H108" i="19" s="1"/>
  <c r="N107" i="19"/>
  <c r="M107" i="19"/>
  <c r="L107" i="19"/>
  <c r="K107" i="19"/>
  <c r="J107" i="19"/>
  <c r="I107" i="19" s="1"/>
  <c r="N106" i="19"/>
  <c r="M106" i="19"/>
  <c r="L106" i="19"/>
  <c r="K106" i="19"/>
  <c r="J106" i="19"/>
  <c r="I106" i="19" s="1"/>
  <c r="R105" i="19"/>
  <c r="N105" i="19"/>
  <c r="M105" i="19"/>
  <c r="L105" i="19"/>
  <c r="J105" i="19"/>
  <c r="I105" i="19" s="1"/>
  <c r="P104" i="19"/>
  <c r="K105" i="19" s="1"/>
  <c r="N103" i="19"/>
  <c r="M103" i="19"/>
  <c r="L103" i="19"/>
  <c r="J103" i="19"/>
  <c r="N102" i="19"/>
  <c r="M102" i="19"/>
  <c r="L102" i="19"/>
  <c r="J102" i="19"/>
  <c r="I102" i="19" s="1"/>
  <c r="N101" i="19"/>
  <c r="M101" i="19"/>
  <c r="L101" i="19"/>
  <c r="J101" i="19"/>
  <c r="N100" i="19"/>
  <c r="M100" i="19"/>
  <c r="L100" i="19"/>
  <c r="K100" i="19"/>
  <c r="J100" i="19"/>
  <c r="I100" i="19" s="1"/>
  <c r="N99" i="19"/>
  <c r="M99" i="19"/>
  <c r="L99" i="19"/>
  <c r="J99" i="19"/>
  <c r="I99" i="19" s="1"/>
  <c r="N98" i="19"/>
  <c r="M98" i="19"/>
  <c r="L98" i="19"/>
  <c r="J98" i="19"/>
  <c r="I98" i="19" s="1"/>
  <c r="N97" i="19"/>
  <c r="M97" i="19"/>
  <c r="L97" i="19"/>
  <c r="J97" i="19"/>
  <c r="H97" i="19" s="1"/>
  <c r="N96" i="19"/>
  <c r="M96" i="19"/>
  <c r="L96" i="19"/>
  <c r="J96" i="19"/>
  <c r="R95" i="19"/>
  <c r="N95" i="19"/>
  <c r="M95" i="19"/>
  <c r="L95" i="19"/>
  <c r="J95" i="19"/>
  <c r="N94" i="19"/>
  <c r="M94" i="19"/>
  <c r="L94" i="19"/>
  <c r="J94" i="19"/>
  <c r="H94" i="19" s="1"/>
  <c r="N93" i="19"/>
  <c r="M93" i="19"/>
  <c r="L93" i="19"/>
  <c r="J93" i="19"/>
  <c r="R92" i="19"/>
  <c r="N92" i="19"/>
  <c r="M92" i="19"/>
  <c r="L92" i="19"/>
  <c r="J92" i="19"/>
  <c r="H92" i="19" s="1"/>
  <c r="N91" i="19"/>
  <c r="M91" i="19"/>
  <c r="L91" i="19"/>
  <c r="J91" i="19"/>
  <c r="P90" i="19"/>
  <c r="K97" i="19" s="1"/>
  <c r="N89" i="19"/>
  <c r="M89" i="19"/>
  <c r="L89" i="19"/>
  <c r="J89" i="19"/>
  <c r="I89" i="19" s="1"/>
  <c r="N88" i="19"/>
  <c r="M88" i="19"/>
  <c r="L88" i="19"/>
  <c r="J88" i="19"/>
  <c r="I88" i="19" s="1"/>
  <c r="N87" i="19"/>
  <c r="M87" i="19"/>
  <c r="L87" i="19"/>
  <c r="J87" i="19"/>
  <c r="H87" i="19" s="1"/>
  <c r="N86" i="19"/>
  <c r="M86" i="19"/>
  <c r="L86" i="19"/>
  <c r="J86" i="19"/>
  <c r="I86" i="19" s="1"/>
  <c r="N85" i="19"/>
  <c r="M85" i="19"/>
  <c r="L85" i="19"/>
  <c r="J85" i="19"/>
  <c r="I85" i="19" s="1"/>
  <c r="N84" i="19"/>
  <c r="M84" i="19"/>
  <c r="L84" i="19"/>
  <c r="J84" i="19"/>
  <c r="I84" i="19" s="1"/>
  <c r="N83" i="19"/>
  <c r="M83" i="19"/>
  <c r="L83" i="19"/>
  <c r="J83" i="19"/>
  <c r="H83" i="19" s="1"/>
  <c r="N82" i="19"/>
  <c r="M82" i="19"/>
  <c r="L82" i="19"/>
  <c r="J82" i="19"/>
  <c r="I82" i="19" s="1"/>
  <c r="N81" i="19"/>
  <c r="M81" i="19"/>
  <c r="L81" i="19"/>
  <c r="J81" i="19"/>
  <c r="I81" i="19" s="1"/>
  <c r="R80" i="19"/>
  <c r="N80" i="19"/>
  <c r="M80" i="19"/>
  <c r="L80" i="19"/>
  <c r="J80" i="19"/>
  <c r="I80" i="19" s="1"/>
  <c r="N79" i="19"/>
  <c r="M79" i="19"/>
  <c r="L79" i="19"/>
  <c r="J79" i="19"/>
  <c r="N78" i="19"/>
  <c r="M78" i="19"/>
  <c r="L78" i="19"/>
  <c r="J78" i="19"/>
  <c r="I78" i="19" s="1"/>
  <c r="N77" i="19"/>
  <c r="M77" i="19"/>
  <c r="L77" i="19"/>
  <c r="J77" i="19"/>
  <c r="P76" i="19"/>
  <c r="K77" i="19" s="1"/>
  <c r="N75" i="19"/>
  <c r="M75" i="19"/>
  <c r="L75" i="19"/>
  <c r="J75" i="19"/>
  <c r="H75" i="19" s="1"/>
  <c r="N74" i="19"/>
  <c r="M74" i="19"/>
  <c r="L74" i="19"/>
  <c r="J74" i="19"/>
  <c r="I74" i="19" s="1"/>
  <c r="N73" i="19"/>
  <c r="M73" i="19"/>
  <c r="L73" i="19"/>
  <c r="J73" i="19"/>
  <c r="H73" i="19" s="1"/>
  <c r="N72" i="19"/>
  <c r="M72" i="19"/>
  <c r="L72" i="19"/>
  <c r="J72" i="19"/>
  <c r="I72" i="19" s="1"/>
  <c r="N71" i="19"/>
  <c r="M71" i="19"/>
  <c r="L71" i="19"/>
  <c r="J71" i="19"/>
  <c r="I71" i="19" s="1"/>
  <c r="N70" i="19"/>
  <c r="M70" i="19"/>
  <c r="L70" i="19"/>
  <c r="J70" i="19"/>
  <c r="I70" i="19" s="1"/>
  <c r="N69" i="19"/>
  <c r="M69" i="19"/>
  <c r="L69" i="19"/>
  <c r="J69" i="19"/>
  <c r="H69" i="19" s="1"/>
  <c r="N68" i="19"/>
  <c r="M68" i="19"/>
  <c r="L68" i="19"/>
  <c r="J68" i="19"/>
  <c r="I68" i="19" s="1"/>
  <c r="N67" i="19"/>
  <c r="M67" i="19"/>
  <c r="L67" i="19"/>
  <c r="J67" i="19"/>
  <c r="H67" i="19" s="1"/>
  <c r="N66" i="19"/>
  <c r="M66" i="19"/>
  <c r="L66" i="19"/>
  <c r="J66" i="19"/>
  <c r="I66" i="19" s="1"/>
  <c r="N65" i="19"/>
  <c r="M65" i="19"/>
  <c r="L65" i="19"/>
  <c r="J65" i="19"/>
  <c r="H65" i="19" s="1"/>
  <c r="N64" i="19"/>
  <c r="M64" i="19"/>
  <c r="L64" i="19"/>
  <c r="J64" i="19"/>
  <c r="R63" i="19"/>
  <c r="N63" i="19"/>
  <c r="M63" i="19"/>
  <c r="L63" i="19"/>
  <c r="J63" i="19"/>
  <c r="I63" i="19" s="1"/>
  <c r="P62" i="19"/>
  <c r="K63" i="19" s="1"/>
  <c r="N61" i="19"/>
  <c r="M61" i="19"/>
  <c r="L61" i="19"/>
  <c r="K61" i="19"/>
  <c r="J61" i="19"/>
  <c r="I61" i="19" s="1"/>
  <c r="N60" i="19"/>
  <c r="M60" i="19"/>
  <c r="L60" i="19"/>
  <c r="K60" i="19"/>
  <c r="J60" i="19"/>
  <c r="H60" i="19" s="1"/>
  <c r="N59" i="19"/>
  <c r="M59" i="19"/>
  <c r="L59" i="19"/>
  <c r="K59" i="19"/>
  <c r="J59" i="19"/>
  <c r="H59" i="19" s="1"/>
  <c r="N58" i="19"/>
  <c r="M58" i="19"/>
  <c r="L58" i="19"/>
  <c r="K58" i="19"/>
  <c r="J58" i="19"/>
  <c r="H58" i="19" s="1"/>
  <c r="N57" i="19"/>
  <c r="M57" i="19"/>
  <c r="L57" i="19"/>
  <c r="K57" i="19"/>
  <c r="J57" i="19"/>
  <c r="I57" i="19" s="1"/>
  <c r="N56" i="19"/>
  <c r="M56" i="19"/>
  <c r="L56" i="19"/>
  <c r="K56" i="19"/>
  <c r="J56" i="19"/>
  <c r="H56" i="19" s="1"/>
  <c r="N55" i="19"/>
  <c r="M55" i="19"/>
  <c r="L55" i="19"/>
  <c r="K55" i="19"/>
  <c r="J55" i="19"/>
  <c r="H55" i="19" s="1"/>
  <c r="N54" i="19"/>
  <c r="M54" i="19"/>
  <c r="L54" i="19"/>
  <c r="K54" i="19"/>
  <c r="J54" i="19"/>
  <c r="H54" i="19" s="1"/>
  <c r="N53" i="19"/>
  <c r="M53" i="19"/>
  <c r="L53" i="19"/>
  <c r="K53" i="19"/>
  <c r="J53" i="19"/>
  <c r="I53" i="19" s="1"/>
  <c r="N52" i="19"/>
  <c r="M52" i="19"/>
  <c r="L52" i="19"/>
  <c r="K52" i="19"/>
  <c r="J52" i="19"/>
  <c r="H52" i="19" s="1"/>
  <c r="R51" i="19"/>
  <c r="N51" i="19"/>
  <c r="M51" i="19"/>
  <c r="L51" i="19"/>
  <c r="K51" i="19"/>
  <c r="J51" i="19"/>
  <c r="I51" i="19" s="1"/>
  <c r="N50" i="19"/>
  <c r="M50" i="19"/>
  <c r="L50" i="19"/>
  <c r="K50" i="19"/>
  <c r="J50" i="19"/>
  <c r="I50" i="19" s="1"/>
  <c r="N49" i="19"/>
  <c r="M49" i="19"/>
  <c r="L49" i="19"/>
  <c r="K49" i="19"/>
  <c r="J49" i="19"/>
  <c r="I49" i="19" s="1"/>
  <c r="N47" i="19"/>
  <c r="M47" i="19"/>
  <c r="L47" i="19"/>
  <c r="J47" i="19"/>
  <c r="I47" i="19" s="1"/>
  <c r="N46" i="19"/>
  <c r="M46" i="19"/>
  <c r="L46" i="19"/>
  <c r="J46" i="19"/>
  <c r="I46" i="19" s="1"/>
  <c r="N45" i="19"/>
  <c r="M45" i="19"/>
  <c r="L45" i="19"/>
  <c r="J45" i="19"/>
  <c r="N44" i="19"/>
  <c r="M44" i="19"/>
  <c r="L44" i="19"/>
  <c r="J44" i="19"/>
  <c r="I44" i="19" s="1"/>
  <c r="N43" i="19"/>
  <c r="M43" i="19"/>
  <c r="L43" i="19"/>
  <c r="J43" i="19"/>
  <c r="I43" i="19" s="1"/>
  <c r="N42" i="19"/>
  <c r="M42" i="19"/>
  <c r="L42" i="19"/>
  <c r="J42" i="19"/>
  <c r="I42" i="19" s="1"/>
  <c r="N41" i="19"/>
  <c r="M41" i="19"/>
  <c r="L41" i="19"/>
  <c r="J41" i="19"/>
  <c r="N40" i="19"/>
  <c r="M40" i="19"/>
  <c r="L40" i="19"/>
  <c r="J40" i="19"/>
  <c r="N39" i="19"/>
  <c r="M39" i="19"/>
  <c r="L39" i="19"/>
  <c r="J39" i="19"/>
  <c r="N38" i="19"/>
  <c r="M38" i="19"/>
  <c r="L38" i="19"/>
  <c r="J38" i="19"/>
  <c r="N37" i="19"/>
  <c r="M37" i="19"/>
  <c r="L37" i="19"/>
  <c r="J37" i="19"/>
  <c r="R36" i="19"/>
  <c r="N36" i="19"/>
  <c r="M36" i="19"/>
  <c r="L36" i="19"/>
  <c r="J36" i="19"/>
  <c r="I36" i="19" s="1"/>
  <c r="N35" i="19"/>
  <c r="M35" i="19"/>
  <c r="L35" i="19"/>
  <c r="J35" i="19"/>
  <c r="I35" i="19" s="1"/>
  <c r="P34" i="19"/>
  <c r="K36" i="19" s="1"/>
  <c r="N33" i="19"/>
  <c r="M33" i="19"/>
  <c r="L33" i="19"/>
  <c r="J33" i="19"/>
  <c r="H33" i="19" s="1"/>
  <c r="N32" i="19"/>
  <c r="M32" i="19"/>
  <c r="L32" i="19"/>
  <c r="J32" i="19"/>
  <c r="H32" i="19" s="1"/>
  <c r="N31" i="19"/>
  <c r="M31" i="19"/>
  <c r="L31" i="19"/>
  <c r="J31" i="19"/>
  <c r="H31" i="19" s="1"/>
  <c r="N30" i="19"/>
  <c r="M30" i="19"/>
  <c r="L30" i="19"/>
  <c r="K30" i="19"/>
  <c r="J30" i="19"/>
  <c r="H30" i="19" s="1"/>
  <c r="N29" i="19"/>
  <c r="M29" i="19"/>
  <c r="L29" i="19"/>
  <c r="K29" i="19"/>
  <c r="J29" i="19"/>
  <c r="H29" i="19" s="1"/>
  <c r="N28" i="19"/>
  <c r="M28" i="19"/>
  <c r="L28" i="19"/>
  <c r="J28" i="19"/>
  <c r="H28" i="19" s="1"/>
  <c r="N27" i="19"/>
  <c r="M27" i="19"/>
  <c r="L27" i="19"/>
  <c r="J27" i="19"/>
  <c r="H27" i="19" s="1"/>
  <c r="N26" i="19"/>
  <c r="M26" i="19"/>
  <c r="L26" i="19"/>
  <c r="J26" i="19"/>
  <c r="H26" i="19" s="1"/>
  <c r="N25" i="19"/>
  <c r="M25" i="19"/>
  <c r="L25" i="19"/>
  <c r="J25" i="19"/>
  <c r="H25" i="19" s="1"/>
  <c r="N24" i="19"/>
  <c r="M24" i="19"/>
  <c r="L24" i="19"/>
  <c r="J24" i="19"/>
  <c r="H24" i="19" s="1"/>
  <c r="N23" i="19"/>
  <c r="M23" i="19"/>
  <c r="L23" i="19"/>
  <c r="J23" i="19"/>
  <c r="H23" i="19" s="1"/>
  <c r="N22" i="19"/>
  <c r="M22" i="19"/>
  <c r="L22" i="19"/>
  <c r="J22" i="19"/>
  <c r="H22" i="19" s="1"/>
  <c r="R21" i="19"/>
  <c r="N21" i="19"/>
  <c r="M21" i="19"/>
  <c r="L21" i="19"/>
  <c r="J21" i="19"/>
  <c r="I21" i="19" s="1"/>
  <c r="P20" i="19"/>
  <c r="K27" i="19" s="1"/>
  <c r="N19" i="19"/>
  <c r="M19" i="19"/>
  <c r="L19" i="19"/>
  <c r="J19" i="19"/>
  <c r="I19" i="19" s="1"/>
  <c r="N18" i="19"/>
  <c r="M18" i="19"/>
  <c r="L18" i="19"/>
  <c r="J18" i="19"/>
  <c r="I18" i="19" s="1"/>
  <c r="N17" i="19"/>
  <c r="M17" i="19"/>
  <c r="L17" i="19"/>
  <c r="J17" i="19"/>
  <c r="I17" i="19" s="1"/>
  <c r="N16" i="19"/>
  <c r="M16" i="19"/>
  <c r="L16" i="19"/>
  <c r="J16" i="19"/>
  <c r="I16" i="19" s="1"/>
  <c r="N15" i="19"/>
  <c r="M15" i="19"/>
  <c r="L15" i="19"/>
  <c r="J15" i="19"/>
  <c r="N14" i="19"/>
  <c r="M14" i="19"/>
  <c r="L14" i="19"/>
  <c r="J14" i="19"/>
  <c r="I14" i="19" s="1"/>
  <c r="N13" i="19"/>
  <c r="M13" i="19"/>
  <c r="L13" i="19"/>
  <c r="J13" i="19"/>
  <c r="I13" i="19" s="1"/>
  <c r="N12" i="19"/>
  <c r="M12" i="19"/>
  <c r="L12" i="19"/>
  <c r="J12" i="19"/>
  <c r="I12" i="19" s="1"/>
  <c r="N11" i="19"/>
  <c r="M11" i="19"/>
  <c r="L11" i="19"/>
  <c r="J11" i="19"/>
  <c r="H11" i="19" s="1"/>
  <c r="N10" i="19"/>
  <c r="M10" i="19"/>
  <c r="L10" i="19"/>
  <c r="J10" i="19"/>
  <c r="I10" i="19" s="1"/>
  <c r="N9" i="19"/>
  <c r="M9" i="19"/>
  <c r="L9" i="19"/>
  <c r="J9" i="19"/>
  <c r="I9" i="19" s="1"/>
  <c r="N8" i="19"/>
  <c r="M8" i="19"/>
  <c r="L8" i="19"/>
  <c r="J8" i="19"/>
  <c r="I8" i="19" s="1"/>
  <c r="R7" i="19"/>
  <c r="N7" i="19"/>
  <c r="M7" i="19"/>
  <c r="L7" i="19"/>
  <c r="J7" i="19"/>
  <c r="H7" i="19" s="1"/>
  <c r="P6" i="19"/>
  <c r="K7" i="19" s="1"/>
  <c r="G297" i="19" l="1"/>
  <c r="G292" i="19"/>
  <c r="G302" i="19"/>
  <c r="G300" i="19"/>
  <c r="F300" i="19" s="1"/>
  <c r="G298" i="19"/>
  <c r="G329" i="19"/>
  <c r="F329" i="19" s="1"/>
  <c r="G327" i="19"/>
  <c r="F327" i="19" s="1"/>
  <c r="G325" i="19"/>
  <c r="F325" i="19" s="1"/>
  <c r="H302" i="19"/>
  <c r="I157" i="19"/>
  <c r="H323" i="19"/>
  <c r="H314" i="19"/>
  <c r="H326" i="19"/>
  <c r="H306" i="19"/>
  <c r="H321" i="19"/>
  <c r="H310" i="19"/>
  <c r="H330" i="19"/>
  <c r="I319" i="19"/>
  <c r="H298" i="19"/>
  <c r="I315" i="19"/>
  <c r="I311" i="19"/>
  <c r="I307" i="19"/>
  <c r="I303" i="19"/>
  <c r="I299" i="19"/>
  <c r="I327" i="19"/>
  <c r="I316" i="19"/>
  <c r="I312" i="19"/>
  <c r="I308" i="19"/>
  <c r="I304" i="19"/>
  <c r="I300" i="19"/>
  <c r="I328" i="19"/>
  <c r="I317" i="19"/>
  <c r="I313" i="19"/>
  <c r="I309" i="19"/>
  <c r="I305" i="19"/>
  <c r="I301" i="19"/>
  <c r="I329" i="19"/>
  <c r="I325" i="19"/>
  <c r="G330" i="19"/>
  <c r="G328" i="19"/>
  <c r="F328" i="19" s="1"/>
  <c r="G326" i="19"/>
  <c r="G323" i="19"/>
  <c r="G321" i="19"/>
  <c r="G319" i="19"/>
  <c r="F319" i="19" s="1"/>
  <c r="G317" i="19"/>
  <c r="F317" i="19" s="1"/>
  <c r="G315" i="19"/>
  <c r="F315" i="19" s="1"/>
  <c r="G313" i="19"/>
  <c r="F313" i="19" s="1"/>
  <c r="G311" i="19"/>
  <c r="F311" i="19" s="1"/>
  <c r="G309" i="19"/>
  <c r="F309" i="19" s="1"/>
  <c r="G307" i="19"/>
  <c r="F307" i="19" s="1"/>
  <c r="G305" i="19"/>
  <c r="F305" i="19" s="1"/>
  <c r="G303" i="19"/>
  <c r="F303" i="19" s="1"/>
  <c r="G301" i="19"/>
  <c r="F301" i="19" s="1"/>
  <c r="G299" i="19"/>
  <c r="F299" i="19" s="1"/>
  <c r="I324" i="19"/>
  <c r="I322" i="19"/>
  <c r="I320" i="19"/>
  <c r="I318" i="19"/>
  <c r="H324" i="19"/>
  <c r="G324" i="19"/>
  <c r="G322" i="19"/>
  <c r="F322" i="19" s="1"/>
  <c r="G320" i="19"/>
  <c r="F320" i="19" s="1"/>
  <c r="G318" i="19"/>
  <c r="F318" i="19" s="1"/>
  <c r="G316" i="19"/>
  <c r="F316" i="19" s="1"/>
  <c r="G314" i="19"/>
  <c r="G312" i="19"/>
  <c r="F312" i="19" s="1"/>
  <c r="G310" i="19"/>
  <c r="G308" i="19"/>
  <c r="F308" i="19" s="1"/>
  <c r="G306" i="19"/>
  <c r="G304" i="19"/>
  <c r="F304" i="19" s="1"/>
  <c r="H297" i="19"/>
  <c r="I297" i="19"/>
  <c r="B341" i="19"/>
  <c r="B337" i="19"/>
  <c r="B340" i="19"/>
  <c r="B336" i="19"/>
  <c r="X244" i="19"/>
  <c r="B338" i="19"/>
  <c r="G213" i="19"/>
  <c r="F213" i="19" s="1"/>
  <c r="B342" i="19"/>
  <c r="I65" i="19"/>
  <c r="I288" i="19"/>
  <c r="I130" i="19"/>
  <c r="I198" i="19"/>
  <c r="G209" i="19"/>
  <c r="F209" i="19" s="1"/>
  <c r="X242" i="19"/>
  <c r="G55" i="19"/>
  <c r="F55" i="19" s="1"/>
  <c r="H155" i="19"/>
  <c r="K360" i="19"/>
  <c r="K364" i="19"/>
  <c r="X238" i="19"/>
  <c r="H46" i="19"/>
  <c r="I113" i="19"/>
  <c r="H126" i="19"/>
  <c r="H35" i="19"/>
  <c r="H82" i="19"/>
  <c r="I94" i="19"/>
  <c r="G113" i="19"/>
  <c r="F113" i="19" s="1"/>
  <c r="G192" i="19"/>
  <c r="I218" i="19"/>
  <c r="O342" i="19"/>
  <c r="G226" i="19"/>
  <c r="F226" i="19" s="1"/>
  <c r="G260" i="19"/>
  <c r="F260" i="19" s="1"/>
  <c r="H120" i="19"/>
  <c r="G121" i="19"/>
  <c r="X243" i="19"/>
  <c r="G268" i="19"/>
  <c r="G273" i="19"/>
  <c r="G199" i="19"/>
  <c r="O340" i="19"/>
  <c r="I24" i="19"/>
  <c r="I69" i="19"/>
  <c r="G189" i="19"/>
  <c r="F189" i="19" s="1"/>
  <c r="H211" i="19"/>
  <c r="G224" i="19"/>
  <c r="G232" i="19"/>
  <c r="F232" i="19" s="1"/>
  <c r="G256" i="19"/>
  <c r="F256" i="19" s="1"/>
  <c r="I75" i="19"/>
  <c r="H85" i="19"/>
  <c r="I260" i="19"/>
  <c r="I22" i="19"/>
  <c r="H47" i="19"/>
  <c r="H57" i="19"/>
  <c r="I73" i="19"/>
  <c r="H86" i="19"/>
  <c r="H105" i="19"/>
  <c r="H109" i="19"/>
  <c r="I110" i="19"/>
  <c r="H128" i="19"/>
  <c r="I151" i="19"/>
  <c r="I165" i="19"/>
  <c r="X236" i="19"/>
  <c r="H268" i="19"/>
  <c r="I216" i="19"/>
  <c r="I230" i="19"/>
  <c r="H271" i="19"/>
  <c r="H50" i="19"/>
  <c r="I83" i="19"/>
  <c r="G110" i="19"/>
  <c r="F110" i="19" s="1"/>
  <c r="G111" i="19"/>
  <c r="G152" i="19"/>
  <c r="G241" i="19"/>
  <c r="F241" i="19" s="1"/>
  <c r="H53" i="19"/>
  <c r="I59" i="19"/>
  <c r="H185" i="19"/>
  <c r="X231" i="19"/>
  <c r="I235" i="19"/>
  <c r="H236" i="19"/>
  <c r="I245" i="19"/>
  <c r="I246" i="19"/>
  <c r="G285" i="19"/>
  <c r="K365" i="19"/>
  <c r="H149" i="19"/>
  <c r="I159" i="19"/>
  <c r="H200" i="19"/>
  <c r="I232" i="19"/>
  <c r="O346" i="19"/>
  <c r="I67" i="19"/>
  <c r="I92" i="19"/>
  <c r="G100" i="19"/>
  <c r="G59" i="19"/>
  <c r="F59" i="19" s="1"/>
  <c r="G106" i="19"/>
  <c r="G202" i="19"/>
  <c r="F202" i="19" s="1"/>
  <c r="G235" i="19"/>
  <c r="F235" i="19" s="1"/>
  <c r="H8" i="19"/>
  <c r="G131" i="19"/>
  <c r="G194" i="19"/>
  <c r="I206" i="19"/>
  <c r="H207" i="19"/>
  <c r="I209" i="19"/>
  <c r="G219" i="19"/>
  <c r="G228" i="19"/>
  <c r="G229" i="19"/>
  <c r="G233" i="19"/>
  <c r="F233" i="19" s="1"/>
  <c r="X241" i="19"/>
  <c r="H251" i="19"/>
  <c r="G255" i="19"/>
  <c r="I257" i="19"/>
  <c r="G278" i="19"/>
  <c r="G281" i="19"/>
  <c r="H296" i="19"/>
  <c r="B346" i="19"/>
  <c r="H49" i="19"/>
  <c r="H71" i="19"/>
  <c r="H122" i="19"/>
  <c r="G130" i="19"/>
  <c r="F130" i="19" s="1"/>
  <c r="G151" i="19"/>
  <c r="F151" i="19" s="1"/>
  <c r="K178" i="19"/>
  <c r="G178" i="19" s="1"/>
  <c r="F178" i="19" s="1"/>
  <c r="K183" i="19"/>
  <c r="G183" i="19" s="1"/>
  <c r="G200" i="19"/>
  <c r="G237" i="19"/>
  <c r="F237" i="19" s="1"/>
  <c r="X240" i="19"/>
  <c r="I244" i="19"/>
  <c r="H286" i="19"/>
  <c r="H292" i="19"/>
  <c r="O337" i="19"/>
  <c r="O352" i="19"/>
  <c r="O355" i="19"/>
  <c r="H21" i="19"/>
  <c r="I26" i="19"/>
  <c r="I87" i="19"/>
  <c r="G123" i="19"/>
  <c r="G156" i="19"/>
  <c r="G234" i="19"/>
  <c r="F234" i="19" s="1"/>
  <c r="X239" i="19"/>
  <c r="I250" i="19"/>
  <c r="G258" i="19"/>
  <c r="F258" i="19" s="1"/>
  <c r="I270" i="19"/>
  <c r="O344" i="19"/>
  <c r="B344" i="19"/>
  <c r="K148" i="19"/>
  <c r="G148" i="19" s="1"/>
  <c r="K185" i="19"/>
  <c r="G185" i="19" s="1"/>
  <c r="G208" i="19"/>
  <c r="A337" i="19"/>
  <c r="K367" i="19"/>
  <c r="K368" i="19"/>
  <c r="I30" i="19"/>
  <c r="G50" i="19"/>
  <c r="G127" i="19"/>
  <c r="I147" i="19"/>
  <c r="K182" i="19"/>
  <c r="G204" i="19"/>
  <c r="G207" i="19"/>
  <c r="X232" i="19"/>
  <c r="X233" i="19"/>
  <c r="G246" i="19"/>
  <c r="F246" i="19" s="1"/>
  <c r="I259" i="19"/>
  <c r="G296" i="19"/>
  <c r="A340" i="19"/>
  <c r="H42" i="19"/>
  <c r="I55" i="19"/>
  <c r="I191" i="19"/>
  <c r="H193" i="19"/>
  <c r="H196" i="19"/>
  <c r="H228" i="19"/>
  <c r="G231" i="19"/>
  <c r="G245" i="19"/>
  <c r="F245" i="19" s="1"/>
  <c r="H278" i="19"/>
  <c r="H294" i="19"/>
  <c r="G295" i="19"/>
  <c r="O345" i="19"/>
  <c r="B345" i="19"/>
  <c r="G36" i="19"/>
  <c r="I97" i="19"/>
  <c r="G115" i="19"/>
  <c r="F115" i="19" s="1"/>
  <c r="I119" i="19"/>
  <c r="K120" i="19"/>
  <c r="I168" i="19"/>
  <c r="H192" i="19"/>
  <c r="I213" i="19"/>
  <c r="G214" i="19"/>
  <c r="G220" i="19"/>
  <c r="I234" i="19"/>
  <c r="X234" i="19"/>
  <c r="X235" i="19"/>
  <c r="G249" i="19"/>
  <c r="I258" i="19"/>
  <c r="I262" i="19"/>
  <c r="G269" i="19"/>
  <c r="G288" i="19"/>
  <c r="F288" i="19" s="1"/>
  <c r="H290" i="19"/>
  <c r="G291" i="19"/>
  <c r="O354" i="19"/>
  <c r="A342" i="19"/>
  <c r="I266" i="19"/>
  <c r="H274" i="19"/>
  <c r="G275" i="19"/>
  <c r="H287" i="19"/>
  <c r="K361" i="19"/>
  <c r="K366" i="19"/>
  <c r="A346" i="19"/>
  <c r="G30" i="19"/>
  <c r="F30" i="19" s="1"/>
  <c r="G108" i="19"/>
  <c r="F108" i="19" s="1"/>
  <c r="G128" i="19"/>
  <c r="G217" i="19"/>
  <c r="K41" i="19"/>
  <c r="G41" i="19" s="1"/>
  <c r="H9" i="19"/>
  <c r="H89" i="19"/>
  <c r="H99" i="19"/>
  <c r="H100" i="19"/>
  <c r="H117" i="19"/>
  <c r="H134" i="19"/>
  <c r="H153" i="19"/>
  <c r="K186" i="19"/>
  <c r="G186" i="19" s="1"/>
  <c r="F186" i="19" s="1"/>
  <c r="G201" i="19"/>
  <c r="G210" i="19"/>
  <c r="H224" i="19"/>
  <c r="H225" i="19"/>
  <c r="X237" i="19"/>
  <c r="G267" i="19"/>
  <c r="F267" i="19" s="1"/>
  <c r="G284" i="19"/>
  <c r="F284" i="19" s="1"/>
  <c r="O350" i="19"/>
  <c r="O353" i="19"/>
  <c r="K362" i="19"/>
  <c r="A341" i="19"/>
  <c r="I28" i="19"/>
  <c r="G51" i="19"/>
  <c r="H61" i="19"/>
  <c r="I112" i="19"/>
  <c r="I116" i="19"/>
  <c r="G124" i="19"/>
  <c r="G134" i="19"/>
  <c r="G195" i="19"/>
  <c r="H199" i="19"/>
  <c r="G205" i="19"/>
  <c r="G212" i="19"/>
  <c r="I215" i="19"/>
  <c r="G221" i="19"/>
  <c r="I226" i="19"/>
  <c r="I238" i="19"/>
  <c r="I240" i="19"/>
  <c r="I242" i="19"/>
  <c r="H247" i="19"/>
  <c r="I248" i="19"/>
  <c r="I256" i="19"/>
  <c r="G274" i="19"/>
  <c r="G277" i="19"/>
  <c r="G287" i="19"/>
  <c r="A336" i="19"/>
  <c r="K363" i="19"/>
  <c r="K369" i="19"/>
  <c r="G105" i="19"/>
  <c r="I252" i="19"/>
  <c r="G280" i="19"/>
  <c r="F280" i="19" s="1"/>
  <c r="H282" i="19"/>
  <c r="G283" i="19"/>
  <c r="G290" i="19"/>
  <c r="G294" i="19"/>
  <c r="O341" i="19"/>
  <c r="O343" i="19"/>
  <c r="O351" i="19"/>
  <c r="K370" i="19"/>
  <c r="K47" i="19"/>
  <c r="G47" i="19" s="1"/>
  <c r="G7" i="19"/>
  <c r="F7" i="19" s="1"/>
  <c r="H88" i="19"/>
  <c r="G117" i="19"/>
  <c r="I172" i="19"/>
  <c r="K181" i="19"/>
  <c r="G181" i="19" s="1"/>
  <c r="F181" i="19" s="1"/>
  <c r="K184" i="19"/>
  <c r="G184" i="19" s="1"/>
  <c r="F184" i="19" s="1"/>
  <c r="G193" i="19"/>
  <c r="H201" i="19"/>
  <c r="G211" i="19"/>
  <c r="G215" i="19"/>
  <c r="F215" i="19" s="1"/>
  <c r="G216" i="19"/>
  <c r="F216" i="19" s="1"/>
  <c r="G261" i="19"/>
  <c r="I264" i="19"/>
  <c r="I272" i="19"/>
  <c r="K44" i="19"/>
  <c r="H36" i="19"/>
  <c r="K37" i="19"/>
  <c r="G37" i="19" s="1"/>
  <c r="H81" i="19"/>
  <c r="H102" i="19"/>
  <c r="H107" i="19"/>
  <c r="H124" i="19"/>
  <c r="K150" i="19"/>
  <c r="G155" i="19"/>
  <c r="H161" i="19"/>
  <c r="H183" i="19"/>
  <c r="H187" i="19"/>
  <c r="H205" i="19"/>
  <c r="H221" i="19"/>
  <c r="G239" i="19"/>
  <c r="F239" i="19" s="1"/>
  <c r="G244" i="19"/>
  <c r="F244" i="19" s="1"/>
  <c r="G252" i="19"/>
  <c r="F252" i="19" s="1"/>
  <c r="G276" i="19"/>
  <c r="F276" i="19" s="1"/>
  <c r="G279" i="19"/>
  <c r="G286" i="19"/>
  <c r="G289" i="19"/>
  <c r="G293" i="19"/>
  <c r="A339" i="19"/>
  <c r="O349" i="19"/>
  <c r="A338" i="19"/>
  <c r="A344" i="19"/>
  <c r="I32" i="19"/>
  <c r="K39" i="19"/>
  <c r="G39" i="19" s="1"/>
  <c r="K42" i="19"/>
  <c r="G42" i="19" s="1"/>
  <c r="H84" i="19"/>
  <c r="G112" i="19"/>
  <c r="F112" i="19" s="1"/>
  <c r="G116" i="19"/>
  <c r="F116" i="19" s="1"/>
  <c r="G119" i="19"/>
  <c r="F119" i="19" s="1"/>
  <c r="K176" i="19"/>
  <c r="G176" i="19" s="1"/>
  <c r="F176" i="19" s="1"/>
  <c r="K180" i="19"/>
  <c r="I202" i="19"/>
  <c r="H208" i="19"/>
  <c r="G218" i="19"/>
  <c r="F218" i="19" s="1"/>
  <c r="G223" i="19"/>
  <c r="G225" i="19"/>
  <c r="I233" i="19"/>
  <c r="G238" i="19"/>
  <c r="F238" i="19" s="1"/>
  <c r="G240" i="19"/>
  <c r="F240" i="19" s="1"/>
  <c r="G242" i="19"/>
  <c r="F242" i="19" s="1"/>
  <c r="G247" i="19"/>
  <c r="I254" i="19"/>
  <c r="H263" i="19"/>
  <c r="G282" i="19"/>
  <c r="A345" i="19"/>
  <c r="K21" i="19"/>
  <c r="I23" i="19"/>
  <c r="I25" i="19"/>
  <c r="I27" i="19"/>
  <c r="I29" i="19"/>
  <c r="I31" i="19"/>
  <c r="K23" i="19"/>
  <c r="K25" i="19"/>
  <c r="G25" i="19" s="1"/>
  <c r="F25" i="19" s="1"/>
  <c r="I38" i="19"/>
  <c r="H38" i="19"/>
  <c r="K33" i="19"/>
  <c r="G33" i="19" s="1"/>
  <c r="F33" i="19" s="1"/>
  <c r="K31" i="19"/>
  <c r="G31" i="19" s="1"/>
  <c r="F31" i="19" s="1"/>
  <c r="K26" i="19"/>
  <c r="K22" i="19"/>
  <c r="K32" i="19"/>
  <c r="K28" i="19"/>
  <c r="K24" i="19"/>
  <c r="G24" i="19" s="1"/>
  <c r="F24" i="19" s="1"/>
  <c r="K19" i="19"/>
  <c r="G19" i="19" s="1"/>
  <c r="K17" i="19"/>
  <c r="K15" i="19"/>
  <c r="G15" i="19" s="1"/>
  <c r="K13" i="19"/>
  <c r="G13" i="19" s="1"/>
  <c r="K11" i="19"/>
  <c r="G11" i="19" s="1"/>
  <c r="F11" i="19" s="1"/>
  <c r="K9" i="19"/>
  <c r="G9" i="19" s="1"/>
  <c r="K18" i="19"/>
  <c r="G18" i="19" s="1"/>
  <c r="K16" i="19"/>
  <c r="G16" i="19" s="1"/>
  <c r="K14" i="19"/>
  <c r="G14" i="19" s="1"/>
  <c r="K12" i="19"/>
  <c r="G12" i="19" s="1"/>
  <c r="K10" i="19"/>
  <c r="G10" i="19" s="1"/>
  <c r="K8" i="19"/>
  <c r="G8" i="19" s="1"/>
  <c r="H10" i="19"/>
  <c r="H13" i="19"/>
  <c r="H15" i="19"/>
  <c r="H17" i="19"/>
  <c r="H19" i="19"/>
  <c r="I11" i="19"/>
  <c r="H12" i="19"/>
  <c r="H14" i="19"/>
  <c r="I15" i="19"/>
  <c r="H16" i="19"/>
  <c r="H18" i="19"/>
  <c r="G27" i="19"/>
  <c r="F27" i="19" s="1"/>
  <c r="G29" i="19"/>
  <c r="F29" i="19" s="1"/>
  <c r="I45" i="19"/>
  <c r="H45" i="19"/>
  <c r="I33" i="19"/>
  <c r="I40" i="19"/>
  <c r="H40" i="19"/>
  <c r="I7" i="19"/>
  <c r="K38" i="19"/>
  <c r="K40" i="19"/>
  <c r="H43" i="19"/>
  <c r="K45" i="19"/>
  <c r="K64" i="19"/>
  <c r="G64" i="19" s="1"/>
  <c r="G97" i="19"/>
  <c r="F97" i="19" s="1"/>
  <c r="H37" i="19"/>
  <c r="H39" i="19"/>
  <c r="H41" i="19"/>
  <c r="G44" i="19"/>
  <c r="H51" i="19"/>
  <c r="K70" i="19"/>
  <c r="G70" i="19" s="1"/>
  <c r="K35" i="19"/>
  <c r="I37" i="19"/>
  <c r="I39" i="19"/>
  <c r="I41" i="19"/>
  <c r="K43" i="19"/>
  <c r="G43" i="19" s="1"/>
  <c r="H44" i="19"/>
  <c r="K46" i="19"/>
  <c r="G46" i="19" s="1"/>
  <c r="G52" i="19"/>
  <c r="F52" i="19" s="1"/>
  <c r="I54" i="19"/>
  <c r="G56" i="19"/>
  <c r="F56" i="19" s="1"/>
  <c r="I58" i="19"/>
  <c r="G60" i="19"/>
  <c r="F60" i="19" s="1"/>
  <c r="H63" i="19"/>
  <c r="K65" i="19"/>
  <c r="K68" i="19"/>
  <c r="G68" i="19" s="1"/>
  <c r="K89" i="19"/>
  <c r="G89" i="19" s="1"/>
  <c r="K87" i="19"/>
  <c r="G87" i="19" s="1"/>
  <c r="F87" i="19" s="1"/>
  <c r="K85" i="19"/>
  <c r="G85" i="19" s="1"/>
  <c r="K83" i="19"/>
  <c r="G83" i="19" s="1"/>
  <c r="F83" i="19" s="1"/>
  <c r="K81" i="19"/>
  <c r="G81" i="19" s="1"/>
  <c r="K79" i="19"/>
  <c r="G79" i="19" s="1"/>
  <c r="K88" i="19"/>
  <c r="G88" i="19" s="1"/>
  <c r="K86" i="19"/>
  <c r="G86" i="19" s="1"/>
  <c r="K84" i="19"/>
  <c r="K82" i="19"/>
  <c r="G82" i="19" s="1"/>
  <c r="K80" i="19"/>
  <c r="K78" i="19"/>
  <c r="G49" i="19"/>
  <c r="K66" i="19"/>
  <c r="G66" i="19" s="1"/>
  <c r="I52" i="19"/>
  <c r="G53" i="19"/>
  <c r="F53" i="19" s="1"/>
  <c r="E53" i="19" s="1"/>
  <c r="D53" i="19" s="1"/>
  <c r="Q53" i="19" s="1"/>
  <c r="G54" i="19"/>
  <c r="F54" i="19" s="1"/>
  <c r="I56" i="19"/>
  <c r="G57" i="19"/>
  <c r="G58" i="19"/>
  <c r="F58" i="19" s="1"/>
  <c r="I60" i="19"/>
  <c r="G61" i="19"/>
  <c r="G77" i="19"/>
  <c r="K75" i="19"/>
  <c r="K73" i="19"/>
  <c r="K71" i="19"/>
  <c r="K69" i="19"/>
  <c r="K67" i="19"/>
  <c r="K74" i="19"/>
  <c r="K72" i="19"/>
  <c r="G72" i="19" s="1"/>
  <c r="G63" i="19"/>
  <c r="I64" i="19"/>
  <c r="H64" i="19"/>
  <c r="H66" i="19"/>
  <c r="H68" i="19"/>
  <c r="H70" i="19"/>
  <c r="H72" i="19"/>
  <c r="H74" i="19"/>
  <c r="H91" i="19"/>
  <c r="H96" i="19"/>
  <c r="H98" i="19"/>
  <c r="H111" i="19"/>
  <c r="G125" i="19"/>
  <c r="I140" i="19"/>
  <c r="H140" i="19"/>
  <c r="H77" i="19"/>
  <c r="H79" i="19"/>
  <c r="I91" i="19"/>
  <c r="K94" i="19"/>
  <c r="G94" i="19" s="1"/>
  <c r="F94" i="19" s="1"/>
  <c r="I96" i="19"/>
  <c r="K99" i="19"/>
  <c r="G99" i="19" s="1"/>
  <c r="K102" i="19"/>
  <c r="G102" i="19" s="1"/>
  <c r="I108" i="19"/>
  <c r="H114" i="19"/>
  <c r="G126" i="19"/>
  <c r="F126" i="19" s="1"/>
  <c r="E126" i="19" s="1"/>
  <c r="D126" i="19" s="1"/>
  <c r="Q126" i="19" s="1"/>
  <c r="G129" i="19"/>
  <c r="I137" i="19"/>
  <c r="H137" i="19"/>
  <c r="I145" i="19"/>
  <c r="H145" i="19"/>
  <c r="I77" i="19"/>
  <c r="I79" i="19"/>
  <c r="H93" i="19"/>
  <c r="H95" i="19"/>
  <c r="H101" i="19"/>
  <c r="H103" i="19"/>
  <c r="G107" i="19"/>
  <c r="I114" i="19"/>
  <c r="I142" i="19"/>
  <c r="H142" i="19"/>
  <c r="K91" i="19"/>
  <c r="G91" i="19" s="1"/>
  <c r="I93" i="19"/>
  <c r="I95" i="19"/>
  <c r="K96" i="19"/>
  <c r="G96" i="19" s="1"/>
  <c r="K98" i="19"/>
  <c r="G98" i="19" s="1"/>
  <c r="I101" i="19"/>
  <c r="I103" i="19"/>
  <c r="H123" i="19"/>
  <c r="I139" i="19"/>
  <c r="H139" i="19"/>
  <c r="I121" i="19"/>
  <c r="H121" i="19"/>
  <c r="I136" i="19"/>
  <c r="H136" i="19"/>
  <c r="I144" i="19"/>
  <c r="H144" i="19"/>
  <c r="H78" i="19"/>
  <c r="H80" i="19"/>
  <c r="K93" i="19"/>
  <c r="K95" i="19"/>
  <c r="G95" i="19" s="1"/>
  <c r="K101" i="19"/>
  <c r="G101" i="19" s="1"/>
  <c r="K103" i="19"/>
  <c r="G103" i="19" s="1"/>
  <c r="H106" i="19"/>
  <c r="G109" i="19"/>
  <c r="I115" i="19"/>
  <c r="G120" i="19"/>
  <c r="G122" i="19"/>
  <c r="I141" i="19"/>
  <c r="H141" i="19"/>
  <c r="G172" i="19"/>
  <c r="F172" i="19" s="1"/>
  <c r="G114" i="19"/>
  <c r="I138" i="19"/>
  <c r="H138" i="19"/>
  <c r="K92" i="19"/>
  <c r="I143" i="19"/>
  <c r="H143" i="19"/>
  <c r="H127" i="19"/>
  <c r="H131" i="19"/>
  <c r="I133" i="19"/>
  <c r="I135" i="19"/>
  <c r="K136" i="19"/>
  <c r="K138" i="19"/>
  <c r="G138" i="19" s="1"/>
  <c r="K140" i="19"/>
  <c r="G140" i="19" s="1"/>
  <c r="K142" i="19"/>
  <c r="K144" i="19"/>
  <c r="H150" i="19"/>
  <c r="H154" i="19"/>
  <c r="H158" i="19"/>
  <c r="I163" i="19"/>
  <c r="K164" i="19"/>
  <c r="I166" i="19"/>
  <c r="K169" i="19"/>
  <c r="G169" i="19" s="1"/>
  <c r="F169" i="19" s="1"/>
  <c r="I170" i="19"/>
  <c r="K173" i="19"/>
  <c r="G173" i="19" s="1"/>
  <c r="F173" i="19" s="1"/>
  <c r="I177" i="19"/>
  <c r="G179" i="19"/>
  <c r="G180" i="19"/>
  <c r="F180" i="19" s="1"/>
  <c r="I181" i="19"/>
  <c r="H194" i="19"/>
  <c r="I195" i="19"/>
  <c r="H195" i="19"/>
  <c r="K147" i="19"/>
  <c r="G149" i="19"/>
  <c r="G153" i="19"/>
  <c r="G157" i="19"/>
  <c r="F157" i="19" s="1"/>
  <c r="K159" i="19"/>
  <c r="H162" i="19"/>
  <c r="H175" i="19"/>
  <c r="I182" i="19"/>
  <c r="I189" i="19"/>
  <c r="K133" i="19"/>
  <c r="G133" i="19" s="1"/>
  <c r="F133" i="19" s="1"/>
  <c r="K135" i="19"/>
  <c r="G135" i="19" s="1"/>
  <c r="F135" i="19" s="1"/>
  <c r="I162" i="19"/>
  <c r="K163" i="19"/>
  <c r="G163" i="19" s="1"/>
  <c r="F163" i="19" s="1"/>
  <c r="K166" i="19"/>
  <c r="I167" i="19"/>
  <c r="K170" i="19"/>
  <c r="I171" i="19"/>
  <c r="I175" i="19"/>
  <c r="G182" i="19"/>
  <c r="F182" i="19" s="1"/>
  <c r="I184" i="19"/>
  <c r="I186" i="19"/>
  <c r="I178" i="19"/>
  <c r="H125" i="19"/>
  <c r="H129" i="19"/>
  <c r="K137" i="19"/>
  <c r="K139" i="19"/>
  <c r="K141" i="19"/>
  <c r="G141" i="19" s="1"/>
  <c r="K143" i="19"/>
  <c r="G143" i="19" s="1"/>
  <c r="K145" i="19"/>
  <c r="G145" i="19" s="1"/>
  <c r="H148" i="19"/>
  <c r="H152" i="19"/>
  <c r="H156" i="19"/>
  <c r="K162" i="19"/>
  <c r="G162" i="19" s="1"/>
  <c r="K167" i="19"/>
  <c r="G167" i="19" s="1"/>
  <c r="F167" i="19" s="1"/>
  <c r="K171" i="19"/>
  <c r="G171" i="19" s="1"/>
  <c r="F171" i="19" s="1"/>
  <c r="H179" i="19"/>
  <c r="G190" i="19"/>
  <c r="G196" i="19"/>
  <c r="G197" i="19"/>
  <c r="H164" i="19"/>
  <c r="I176" i="19"/>
  <c r="G198" i="19"/>
  <c r="F198" i="19" s="1"/>
  <c r="K161" i="19"/>
  <c r="G161" i="19" s="1"/>
  <c r="K165" i="19"/>
  <c r="G165" i="19" s="1"/>
  <c r="F165" i="19" s="1"/>
  <c r="K168" i="19"/>
  <c r="I169" i="19"/>
  <c r="I173" i="19"/>
  <c r="G191" i="19"/>
  <c r="F191" i="19" s="1"/>
  <c r="G150" i="19"/>
  <c r="G154" i="19"/>
  <c r="G158" i="19"/>
  <c r="I180" i="19"/>
  <c r="H190" i="19"/>
  <c r="H197" i="19"/>
  <c r="H212" i="19"/>
  <c r="H217" i="19"/>
  <c r="H219" i="19"/>
  <c r="H223" i="19"/>
  <c r="H229" i="19"/>
  <c r="G243" i="19"/>
  <c r="F243" i="19" s="1"/>
  <c r="K187" i="19"/>
  <c r="G222" i="19"/>
  <c r="G227" i="19"/>
  <c r="I239" i="19"/>
  <c r="I243" i="19"/>
  <c r="H204" i="19"/>
  <c r="H210" i="19"/>
  <c r="H214" i="19"/>
  <c r="H222" i="19"/>
  <c r="H227" i="19"/>
  <c r="I249" i="19"/>
  <c r="H249" i="19"/>
  <c r="O338" i="19"/>
  <c r="K177" i="19"/>
  <c r="G177" i="19" s="1"/>
  <c r="F177" i="19" s="1"/>
  <c r="I204" i="19"/>
  <c r="I210" i="19"/>
  <c r="I214" i="19"/>
  <c r="I222" i="19"/>
  <c r="I227" i="19"/>
  <c r="I241" i="19"/>
  <c r="O348" i="19"/>
  <c r="G250" i="19"/>
  <c r="F250" i="19" s="1"/>
  <c r="O339" i="19"/>
  <c r="G206" i="19"/>
  <c r="F206" i="19" s="1"/>
  <c r="H220" i="19"/>
  <c r="G230" i="19"/>
  <c r="F230" i="19" s="1"/>
  <c r="H231" i="19"/>
  <c r="G236" i="19"/>
  <c r="K175" i="19"/>
  <c r="G175" i="19" s="1"/>
  <c r="I237" i="19"/>
  <c r="O347" i="19"/>
  <c r="H255" i="19"/>
  <c r="G257" i="19"/>
  <c r="F257" i="19" s="1"/>
  <c r="G259" i="19"/>
  <c r="F259" i="19" s="1"/>
  <c r="G264" i="19"/>
  <c r="F264" i="19" s="1"/>
  <c r="G272" i="19"/>
  <c r="F272" i="19" s="1"/>
  <c r="B339" i="19"/>
  <c r="I255" i="19"/>
  <c r="I267" i="19"/>
  <c r="I276" i="19"/>
  <c r="I280" i="19"/>
  <c r="I284" i="19"/>
  <c r="G248" i="19"/>
  <c r="F248" i="19" s="1"/>
  <c r="G254" i="19"/>
  <c r="F254" i="19" s="1"/>
  <c r="H261" i="19"/>
  <c r="G266" i="19"/>
  <c r="F266" i="19" s="1"/>
  <c r="H269" i="19"/>
  <c r="H275" i="19"/>
  <c r="H279" i="19"/>
  <c r="H283" i="19"/>
  <c r="H289" i="19"/>
  <c r="H293" i="19"/>
  <c r="G251" i="19"/>
  <c r="I261" i="19"/>
  <c r="G263" i="19"/>
  <c r="I269" i="19"/>
  <c r="G271" i="19"/>
  <c r="I275" i="19"/>
  <c r="I279" i="19"/>
  <c r="I283" i="19"/>
  <c r="I289" i="19"/>
  <c r="I293" i="19"/>
  <c r="A343" i="19"/>
  <c r="G253" i="19"/>
  <c r="G265" i="19"/>
  <c r="H253" i="19"/>
  <c r="G262" i="19"/>
  <c r="F262" i="19" s="1"/>
  <c r="H265" i="19"/>
  <c r="G270" i="19"/>
  <c r="F270" i="19" s="1"/>
  <c r="H273" i="19"/>
  <c r="H277" i="19"/>
  <c r="H281" i="19"/>
  <c r="H285" i="19"/>
  <c r="H291" i="19"/>
  <c r="H295" i="19"/>
  <c r="N40" i="16"/>
  <c r="M40" i="16"/>
  <c r="G40" i="16" s="1"/>
  <c r="L40" i="16"/>
  <c r="J40" i="16"/>
  <c r="I40" i="16" s="1"/>
  <c r="N39" i="16"/>
  <c r="M39" i="16"/>
  <c r="L39" i="16"/>
  <c r="J39" i="16"/>
  <c r="N38" i="16"/>
  <c r="M38" i="16"/>
  <c r="L38" i="16"/>
  <c r="J38" i="16"/>
  <c r="H38" i="16" s="1"/>
  <c r="N37" i="16"/>
  <c r="M37" i="16"/>
  <c r="L37" i="16"/>
  <c r="J37" i="16"/>
  <c r="H37" i="16" s="1"/>
  <c r="N36" i="16"/>
  <c r="M36" i="16"/>
  <c r="L36" i="16"/>
  <c r="J36" i="16"/>
  <c r="I36" i="16" s="1"/>
  <c r="N35" i="16"/>
  <c r="M35" i="16"/>
  <c r="L35" i="16"/>
  <c r="J35" i="16"/>
  <c r="I35" i="16" s="1"/>
  <c r="N34" i="16"/>
  <c r="M34" i="16"/>
  <c r="L34" i="16"/>
  <c r="J34" i="16"/>
  <c r="H34" i="16" s="1"/>
  <c r="N33" i="16"/>
  <c r="M33" i="16"/>
  <c r="L33" i="16"/>
  <c r="J33" i="16"/>
  <c r="I33" i="16" s="1"/>
  <c r="N32" i="16"/>
  <c r="M32" i="16"/>
  <c r="L32" i="16"/>
  <c r="J32" i="16"/>
  <c r="I32" i="16" s="1"/>
  <c r="N31" i="16"/>
  <c r="M31" i="16"/>
  <c r="L31" i="16"/>
  <c r="J31" i="16"/>
  <c r="N30" i="16"/>
  <c r="M30" i="16"/>
  <c r="L30" i="16"/>
  <c r="J30" i="16"/>
  <c r="H30" i="16" s="1"/>
  <c r="N29" i="16"/>
  <c r="M29" i="16"/>
  <c r="L29" i="16"/>
  <c r="J29" i="16"/>
  <c r="H29" i="16" s="1"/>
  <c r="N28" i="16"/>
  <c r="M28" i="16"/>
  <c r="L28" i="16"/>
  <c r="J28" i="16"/>
  <c r="I28" i="16" s="1"/>
  <c r="N27" i="16"/>
  <c r="M27" i="16"/>
  <c r="L27" i="16"/>
  <c r="J27" i="16"/>
  <c r="I27" i="16" s="1"/>
  <c r="N26" i="16"/>
  <c r="M26" i="16"/>
  <c r="L26" i="16"/>
  <c r="J26" i="16"/>
  <c r="I26" i="16" s="1"/>
  <c r="N25" i="16"/>
  <c r="M25" i="16"/>
  <c r="L25" i="16"/>
  <c r="J25" i="16"/>
  <c r="I25" i="16" s="1"/>
  <c r="N24" i="16"/>
  <c r="M24" i="16"/>
  <c r="L24" i="16"/>
  <c r="J24" i="16"/>
  <c r="I24" i="16" s="1"/>
  <c r="N23" i="16"/>
  <c r="M23" i="16"/>
  <c r="L23" i="16"/>
  <c r="J23" i="16"/>
  <c r="I23" i="16" s="1"/>
  <c r="N22" i="16"/>
  <c r="M22" i="16"/>
  <c r="L22" i="16"/>
  <c r="J22" i="16"/>
  <c r="H22" i="16" s="1"/>
  <c r="N21" i="16"/>
  <c r="M21" i="16"/>
  <c r="L21" i="16"/>
  <c r="J21" i="16"/>
  <c r="H21" i="16" s="1"/>
  <c r="I21" i="16"/>
  <c r="N20" i="16"/>
  <c r="M20" i="16"/>
  <c r="L20" i="16"/>
  <c r="J20" i="16"/>
  <c r="F292" i="19" l="1"/>
  <c r="E292" i="19" s="1"/>
  <c r="D292" i="19" s="1"/>
  <c r="Q292" i="19" s="1"/>
  <c r="S292" i="19" s="1"/>
  <c r="F297" i="19"/>
  <c r="F121" i="19"/>
  <c r="E121" i="19" s="1"/>
  <c r="D121" i="19" s="1"/>
  <c r="Q121" i="19" s="1"/>
  <c r="E87" i="19"/>
  <c r="D87" i="19" s="1"/>
  <c r="Q87" i="19" s="1"/>
  <c r="F100" i="19"/>
  <c r="E100" i="19" s="1"/>
  <c r="D100" i="19" s="1"/>
  <c r="Q100" i="19" s="1"/>
  <c r="F302" i="19"/>
  <c r="E302" i="19" s="1"/>
  <c r="D302" i="19" s="1"/>
  <c r="Q302" i="19" s="1"/>
  <c r="S302" i="19" s="1"/>
  <c r="E230" i="19"/>
  <c r="D230" i="19" s="1"/>
  <c r="Q230" i="19" s="1"/>
  <c r="S230" i="19" s="1"/>
  <c r="E157" i="19"/>
  <c r="D157" i="19" s="1"/>
  <c r="Q157" i="19" s="1"/>
  <c r="F298" i="19"/>
  <c r="E298" i="19" s="1"/>
  <c r="D298" i="19" s="1"/>
  <c r="Q298" i="19" s="1"/>
  <c r="S298" i="19" s="1"/>
  <c r="F295" i="19"/>
  <c r="E295" i="19" s="1"/>
  <c r="D295" i="19" s="1"/>
  <c r="Q295" i="19" s="1"/>
  <c r="S295" i="19" s="1"/>
  <c r="E206" i="19"/>
  <c r="D206" i="19" s="1"/>
  <c r="Q206" i="19" s="1"/>
  <c r="S206" i="19" s="1"/>
  <c r="F105" i="19"/>
  <c r="E105" i="19" s="1"/>
  <c r="D105" i="19" s="1"/>
  <c r="Q105" i="19" s="1"/>
  <c r="S105" i="19" s="1"/>
  <c r="E250" i="19"/>
  <c r="D250" i="19" s="1"/>
  <c r="Q250" i="19" s="1"/>
  <c r="S250" i="19" s="1"/>
  <c r="F291" i="19"/>
  <c r="E291" i="19" s="1"/>
  <c r="D291" i="19" s="1"/>
  <c r="Q291" i="19" s="1"/>
  <c r="S291" i="19" s="1"/>
  <c r="F249" i="19"/>
  <c r="E249" i="19" s="1"/>
  <c r="D249" i="19" s="1"/>
  <c r="Q249" i="19" s="1"/>
  <c r="S249" i="19" s="1"/>
  <c r="F271" i="19"/>
  <c r="E271" i="19" s="1"/>
  <c r="D271" i="19" s="1"/>
  <c r="Q271" i="19" s="1"/>
  <c r="S271" i="19" s="1"/>
  <c r="F255" i="19"/>
  <c r="E255" i="19" s="1"/>
  <c r="D255" i="19" s="1"/>
  <c r="Q255" i="19" s="1"/>
  <c r="S255" i="19" s="1"/>
  <c r="E257" i="19"/>
  <c r="D257" i="19" s="1"/>
  <c r="Q257" i="19" s="1"/>
  <c r="F204" i="19"/>
  <c r="E204" i="19" s="1"/>
  <c r="D204" i="19" s="1"/>
  <c r="Q204" i="19" s="1"/>
  <c r="S204" i="19" s="1"/>
  <c r="F82" i="19"/>
  <c r="E82" i="19" s="1"/>
  <c r="D82" i="19" s="1"/>
  <c r="Q82" i="19" s="1"/>
  <c r="F279" i="19"/>
  <c r="E279" i="19" s="1"/>
  <c r="D279" i="19" s="1"/>
  <c r="Q279" i="19" s="1"/>
  <c r="S279" i="19" s="1"/>
  <c r="F155" i="19"/>
  <c r="E155" i="19" s="1"/>
  <c r="D155" i="19" s="1"/>
  <c r="Q155" i="19" s="1"/>
  <c r="E191" i="19"/>
  <c r="D191" i="19" s="1"/>
  <c r="Q191" i="19" s="1"/>
  <c r="S191" i="19" s="1"/>
  <c r="F120" i="19"/>
  <c r="E120" i="19" s="1"/>
  <c r="D120" i="19" s="1"/>
  <c r="Q120" i="19" s="1"/>
  <c r="S120" i="19" s="1"/>
  <c r="E270" i="19"/>
  <c r="D270" i="19" s="1"/>
  <c r="Q270" i="19" s="1"/>
  <c r="S270" i="19" s="1"/>
  <c r="F251" i="19"/>
  <c r="E251" i="19" s="1"/>
  <c r="D251" i="19" s="1"/>
  <c r="Q251" i="19" s="1"/>
  <c r="S251" i="19" s="1"/>
  <c r="F314" i="19"/>
  <c r="E314" i="19" s="1"/>
  <c r="D314" i="19" s="1"/>
  <c r="Q314" i="19" s="1"/>
  <c r="S314" i="19" s="1"/>
  <c r="F323" i="19"/>
  <c r="E323" i="19" s="1"/>
  <c r="D323" i="19" s="1"/>
  <c r="Q323" i="19" s="1"/>
  <c r="S323" i="19" s="1"/>
  <c r="F85" i="19"/>
  <c r="E85" i="19" s="1"/>
  <c r="D85" i="19" s="1"/>
  <c r="Q85" i="19" s="1"/>
  <c r="F109" i="19"/>
  <c r="E109" i="19" s="1"/>
  <c r="D109" i="19" s="1"/>
  <c r="Q109" i="19" s="1"/>
  <c r="E209" i="19"/>
  <c r="D209" i="19" s="1"/>
  <c r="Q209" i="19" s="1"/>
  <c r="S209" i="19" s="1"/>
  <c r="F196" i="19"/>
  <c r="E196" i="19" s="1"/>
  <c r="D196" i="19" s="1"/>
  <c r="Q196" i="19" s="1"/>
  <c r="S196" i="19" s="1"/>
  <c r="F277" i="19"/>
  <c r="E277" i="19" s="1"/>
  <c r="D277" i="19" s="1"/>
  <c r="Q277" i="19" s="1"/>
  <c r="S277" i="19" s="1"/>
  <c r="E94" i="19"/>
  <c r="D94" i="19" s="1"/>
  <c r="Q94" i="19" s="1"/>
  <c r="E24" i="19"/>
  <c r="D24" i="19" s="1"/>
  <c r="Q24" i="19" s="1"/>
  <c r="F229" i="19"/>
  <c r="E229" i="19" s="1"/>
  <c r="D229" i="19" s="1"/>
  <c r="Q229" i="19" s="1"/>
  <c r="S229" i="19" s="1"/>
  <c r="E110" i="19"/>
  <c r="D110" i="19" s="1"/>
  <c r="Q110" i="19" s="1"/>
  <c r="E254" i="19"/>
  <c r="D254" i="19" s="1"/>
  <c r="Q254" i="19" s="1"/>
  <c r="S254" i="19" s="1"/>
  <c r="F122" i="19"/>
  <c r="E122" i="19" s="1"/>
  <c r="D122" i="19" s="1"/>
  <c r="Q122" i="19" s="1"/>
  <c r="F149" i="19"/>
  <c r="E149" i="19" s="1"/>
  <c r="D149" i="19" s="1"/>
  <c r="Q149" i="19" s="1"/>
  <c r="S149" i="19" s="1"/>
  <c r="F275" i="19"/>
  <c r="E275" i="19" s="1"/>
  <c r="D275" i="19" s="1"/>
  <c r="Q275" i="19" s="1"/>
  <c r="S275" i="19" s="1"/>
  <c r="F127" i="19"/>
  <c r="E127" i="19" s="1"/>
  <c r="D127" i="19" s="1"/>
  <c r="Q127" i="19" s="1"/>
  <c r="F57" i="19"/>
  <c r="E57" i="19" s="1"/>
  <c r="D57" i="19" s="1"/>
  <c r="Q57" i="19" s="1"/>
  <c r="E165" i="19"/>
  <c r="D165" i="19" s="1"/>
  <c r="Q165" i="19" s="1"/>
  <c r="F310" i="19"/>
  <c r="E310" i="19" s="1"/>
  <c r="D310" i="19" s="1"/>
  <c r="Q310" i="19" s="1"/>
  <c r="S310" i="19" s="1"/>
  <c r="E288" i="19"/>
  <c r="D288" i="19" s="1"/>
  <c r="Q288" i="19" s="1"/>
  <c r="S288" i="19" s="1"/>
  <c r="E262" i="19"/>
  <c r="D262" i="19" s="1"/>
  <c r="Q262" i="19" s="1"/>
  <c r="S262" i="19" s="1"/>
  <c r="F219" i="19"/>
  <c r="E219" i="19" s="1"/>
  <c r="D219" i="19" s="1"/>
  <c r="Q219" i="19" s="1"/>
  <c r="S219" i="19" s="1"/>
  <c r="F269" i="19"/>
  <c r="E269" i="19" s="1"/>
  <c r="D269" i="19" s="1"/>
  <c r="Q269" i="19" s="1"/>
  <c r="S269" i="19" s="1"/>
  <c r="E237" i="19"/>
  <c r="D237" i="19" s="1"/>
  <c r="Q237" i="19" s="1"/>
  <c r="S237" i="19" s="1"/>
  <c r="F123" i="19"/>
  <c r="E123" i="19" s="1"/>
  <c r="D123" i="19" s="1"/>
  <c r="Q123" i="19" s="1"/>
  <c r="F326" i="19"/>
  <c r="E326" i="19" s="1"/>
  <c r="D326" i="19" s="1"/>
  <c r="Q326" i="19" s="1"/>
  <c r="S326" i="19" s="1"/>
  <c r="F214" i="19"/>
  <c r="E214" i="19" s="1"/>
  <c r="D214" i="19" s="1"/>
  <c r="Q214" i="19" s="1"/>
  <c r="S214" i="19" s="1"/>
  <c r="E272" i="19"/>
  <c r="D272" i="19" s="1"/>
  <c r="Q272" i="19" s="1"/>
  <c r="S272" i="19" s="1"/>
  <c r="E256" i="19"/>
  <c r="D256" i="19" s="1"/>
  <c r="Q256" i="19" s="1"/>
  <c r="E259" i="19"/>
  <c r="D259" i="19" s="1"/>
  <c r="Q259" i="19" s="1"/>
  <c r="F51" i="19"/>
  <c r="E51" i="19" s="1"/>
  <c r="D51" i="19" s="1"/>
  <c r="Q51" i="19" s="1"/>
  <c r="S51" i="19" s="1"/>
  <c r="E202" i="19"/>
  <c r="D202" i="19" s="1"/>
  <c r="Q202" i="19" s="1"/>
  <c r="S202" i="19" s="1"/>
  <c r="E284" i="19"/>
  <c r="D284" i="19" s="1"/>
  <c r="Q284" i="19" s="1"/>
  <c r="S284" i="19" s="1"/>
  <c r="F217" i="19"/>
  <c r="E217" i="19" s="1"/>
  <c r="D217" i="19" s="1"/>
  <c r="Q217" i="19" s="1"/>
  <c r="S217" i="19" s="1"/>
  <c r="F156" i="19"/>
  <c r="E156" i="19" s="1"/>
  <c r="D156" i="19" s="1"/>
  <c r="Q156" i="19" s="1"/>
  <c r="F106" i="19"/>
  <c r="E106" i="19" s="1"/>
  <c r="D106" i="19" s="1"/>
  <c r="Q106" i="19" s="1"/>
  <c r="E235" i="19"/>
  <c r="D235" i="19" s="1"/>
  <c r="Q235" i="19" s="1"/>
  <c r="E305" i="19"/>
  <c r="D305" i="19" s="1"/>
  <c r="Q305" i="19" s="1"/>
  <c r="S305" i="19" s="1"/>
  <c r="E315" i="19"/>
  <c r="D315" i="19" s="1"/>
  <c r="Q315" i="19" s="1"/>
  <c r="S315" i="19" s="1"/>
  <c r="E280" i="19"/>
  <c r="D280" i="19" s="1"/>
  <c r="Q280" i="19" s="1"/>
  <c r="S280" i="19" s="1"/>
  <c r="E108" i="19"/>
  <c r="D108" i="19" s="1"/>
  <c r="Q108" i="19" s="1"/>
  <c r="E233" i="19"/>
  <c r="D233" i="19" s="1"/>
  <c r="Q233" i="19" s="1"/>
  <c r="S233" i="19" s="1"/>
  <c r="E119" i="19"/>
  <c r="D119" i="19" s="1"/>
  <c r="Q119" i="19" s="1"/>
  <c r="F306" i="19"/>
  <c r="E306" i="19" s="1"/>
  <c r="D306" i="19" s="1"/>
  <c r="Q306" i="19" s="1"/>
  <c r="S306" i="19" s="1"/>
  <c r="E322" i="19"/>
  <c r="D322" i="19" s="1"/>
  <c r="Q322" i="19" s="1"/>
  <c r="S322" i="19" s="1"/>
  <c r="E301" i="19"/>
  <c r="D301" i="19" s="1"/>
  <c r="Q301" i="19" s="1"/>
  <c r="S301" i="19" s="1"/>
  <c r="E303" i="19"/>
  <c r="D303" i="19" s="1"/>
  <c r="Q303" i="19" s="1"/>
  <c r="S303" i="19" s="1"/>
  <c r="F8" i="19"/>
  <c r="E8" i="19" s="1"/>
  <c r="D8" i="19" s="1"/>
  <c r="Q8" i="19" s="1"/>
  <c r="F161" i="19"/>
  <c r="E161" i="19" s="1"/>
  <c r="D161" i="19" s="1"/>
  <c r="Q161" i="19" s="1"/>
  <c r="S161" i="19" s="1"/>
  <c r="F282" i="19"/>
  <c r="E282" i="19" s="1"/>
  <c r="D282" i="19" s="1"/>
  <c r="Q282" i="19" s="1"/>
  <c r="S282" i="19" s="1"/>
  <c r="E215" i="19"/>
  <c r="D215" i="19" s="1"/>
  <c r="Q215" i="19" s="1"/>
  <c r="S215" i="19" s="1"/>
  <c r="E258" i="19"/>
  <c r="D258" i="19" s="1"/>
  <c r="Q258" i="19" s="1"/>
  <c r="E226" i="19"/>
  <c r="D226" i="19" s="1"/>
  <c r="Q226" i="19" s="1"/>
  <c r="S226" i="19" s="1"/>
  <c r="E319" i="19"/>
  <c r="D319" i="19" s="1"/>
  <c r="Q319" i="19" s="1"/>
  <c r="S319" i="19" s="1"/>
  <c r="E216" i="19"/>
  <c r="D216" i="19" s="1"/>
  <c r="Q216" i="19" s="1"/>
  <c r="S216" i="19" s="1"/>
  <c r="F117" i="19"/>
  <c r="E117" i="19" s="1"/>
  <c r="D117" i="19" s="1"/>
  <c r="Q117" i="19" s="1"/>
  <c r="E176" i="19"/>
  <c r="D176" i="19" s="1"/>
  <c r="Q176" i="19" s="1"/>
  <c r="S176" i="19" s="1"/>
  <c r="E115" i="19"/>
  <c r="D115" i="19" s="1"/>
  <c r="Q115" i="19" s="1"/>
  <c r="F283" i="19"/>
  <c r="E283" i="19" s="1"/>
  <c r="D283" i="19" s="1"/>
  <c r="Q283" i="19" s="1"/>
  <c r="S283" i="19" s="1"/>
  <c r="F210" i="19"/>
  <c r="E210" i="19" s="1"/>
  <c r="D210" i="19" s="1"/>
  <c r="Q210" i="19" s="1"/>
  <c r="S210" i="19" s="1"/>
  <c r="F194" i="19"/>
  <c r="E194" i="19" s="1"/>
  <c r="D194" i="19" s="1"/>
  <c r="Q194" i="19" s="1"/>
  <c r="S194" i="19" s="1"/>
  <c r="E276" i="19"/>
  <c r="D276" i="19" s="1"/>
  <c r="Q276" i="19" s="1"/>
  <c r="S276" i="19" s="1"/>
  <c r="F285" i="19"/>
  <c r="E285" i="19" s="1"/>
  <c r="D285" i="19" s="1"/>
  <c r="Q285" i="19" s="1"/>
  <c r="S285" i="19" s="1"/>
  <c r="F152" i="19"/>
  <c r="E152" i="19" s="1"/>
  <c r="D152" i="19" s="1"/>
  <c r="Q152" i="19" s="1"/>
  <c r="F124" i="19"/>
  <c r="E124" i="19" s="1"/>
  <c r="D124" i="19" s="1"/>
  <c r="Q124" i="19" s="1"/>
  <c r="F192" i="19"/>
  <c r="E192" i="19" s="1"/>
  <c r="D192" i="19" s="1"/>
  <c r="Q192" i="19" s="1"/>
  <c r="S192" i="19" s="1"/>
  <c r="F131" i="19"/>
  <c r="E131" i="19" s="1"/>
  <c r="D131" i="19" s="1"/>
  <c r="Q131" i="19" s="1"/>
  <c r="F224" i="19"/>
  <c r="E224" i="19" s="1"/>
  <c r="D224" i="19" s="1"/>
  <c r="Q224" i="19" s="1"/>
  <c r="S224" i="19" s="1"/>
  <c r="E186" i="19"/>
  <c r="D186" i="19" s="1"/>
  <c r="Q186" i="19" s="1"/>
  <c r="F208" i="19"/>
  <c r="E208" i="19" s="1"/>
  <c r="D208" i="19" s="1"/>
  <c r="Q208" i="19" s="1"/>
  <c r="S208" i="19" s="1"/>
  <c r="E234" i="19"/>
  <c r="D234" i="19" s="1"/>
  <c r="Q234" i="19" s="1"/>
  <c r="S234" i="19" s="1"/>
  <c r="E232" i="19"/>
  <c r="D232" i="19" s="1"/>
  <c r="Q232" i="19" s="1"/>
  <c r="S232" i="19" s="1"/>
  <c r="E218" i="19"/>
  <c r="D218" i="19" s="1"/>
  <c r="Q218" i="19" s="1"/>
  <c r="S218" i="19" s="1"/>
  <c r="E308" i="19"/>
  <c r="D308" i="19" s="1"/>
  <c r="Q308" i="19" s="1"/>
  <c r="S308" i="19" s="1"/>
  <c r="F86" i="19"/>
  <c r="E86" i="19" s="1"/>
  <c r="D86" i="19" s="1"/>
  <c r="Q86" i="19" s="1"/>
  <c r="F321" i="19"/>
  <c r="E321" i="19" s="1"/>
  <c r="D321" i="19" s="1"/>
  <c r="Q321" i="19" s="1"/>
  <c r="S321" i="19" s="1"/>
  <c r="F199" i="19"/>
  <c r="E199" i="19" s="1"/>
  <c r="D199" i="19" s="1"/>
  <c r="Q199" i="19" s="1"/>
  <c r="S199" i="19" s="1"/>
  <c r="F128" i="19"/>
  <c r="E128" i="19" s="1"/>
  <c r="D128" i="19" s="1"/>
  <c r="Q128" i="19" s="1"/>
  <c r="E307" i="19"/>
  <c r="D307" i="19" s="1"/>
  <c r="Q307" i="19" s="1"/>
  <c r="S307" i="19" s="1"/>
  <c r="F81" i="19"/>
  <c r="E81" i="19" s="1"/>
  <c r="D81" i="19" s="1"/>
  <c r="Q81" i="19" s="1"/>
  <c r="E266" i="19"/>
  <c r="D266" i="19" s="1"/>
  <c r="Q266" i="19" s="1"/>
  <c r="S266" i="19" s="1"/>
  <c r="E239" i="19"/>
  <c r="D239" i="19" s="1"/>
  <c r="Q239" i="19" s="1"/>
  <c r="S239" i="19" s="1"/>
  <c r="F195" i="19"/>
  <c r="E195" i="19" s="1"/>
  <c r="D195" i="19" s="1"/>
  <c r="Q195" i="19" s="1"/>
  <c r="S195" i="19" s="1"/>
  <c r="E116" i="19"/>
  <c r="D116" i="19" s="1"/>
  <c r="Q116" i="19" s="1"/>
  <c r="F330" i="19"/>
  <c r="E330" i="19" s="1"/>
  <c r="D330" i="19" s="1"/>
  <c r="Q330" i="19" s="1"/>
  <c r="S330" i="19" s="1"/>
  <c r="F293" i="19"/>
  <c r="E293" i="19" s="1"/>
  <c r="D293" i="19" s="1"/>
  <c r="Q293" i="19" s="1"/>
  <c r="S293" i="19" s="1"/>
  <c r="F46" i="19"/>
  <c r="E46" i="19" s="1"/>
  <c r="D46" i="19" s="1"/>
  <c r="Q46" i="19" s="1"/>
  <c r="E213" i="19"/>
  <c r="D213" i="19" s="1"/>
  <c r="Q213" i="19" s="1"/>
  <c r="S213" i="19" s="1"/>
  <c r="E312" i="19"/>
  <c r="D312" i="19" s="1"/>
  <c r="Q312" i="19" s="1"/>
  <c r="S312" i="19" s="1"/>
  <c r="E264" i="19"/>
  <c r="D264" i="19" s="1"/>
  <c r="Q264" i="19" s="1"/>
  <c r="S264" i="19" s="1"/>
  <c r="F212" i="19"/>
  <c r="E212" i="19" s="1"/>
  <c r="D212" i="19" s="1"/>
  <c r="Q212" i="19" s="1"/>
  <c r="S212" i="19" s="1"/>
  <c r="F102" i="19"/>
  <c r="E102" i="19" s="1"/>
  <c r="D102" i="19" s="1"/>
  <c r="Q102" i="19" s="1"/>
  <c r="F41" i="19"/>
  <c r="E41" i="19" s="1"/>
  <c r="D41" i="19" s="1"/>
  <c r="Q41" i="19" s="1"/>
  <c r="E329" i="19"/>
  <c r="D329" i="19" s="1"/>
  <c r="Q329" i="19" s="1"/>
  <c r="S329" i="19" s="1"/>
  <c r="F211" i="19"/>
  <c r="E211" i="19" s="1"/>
  <c r="D211" i="19" s="1"/>
  <c r="Q211" i="19" s="1"/>
  <c r="S211" i="19" s="1"/>
  <c r="F61" i="19"/>
  <c r="E61" i="19" s="1"/>
  <c r="D61" i="19" s="1"/>
  <c r="Q61" i="19" s="1"/>
  <c r="E177" i="19"/>
  <c r="D177" i="19" s="1"/>
  <c r="Q177" i="19" s="1"/>
  <c r="S177" i="19" s="1"/>
  <c r="F236" i="19"/>
  <c r="E236" i="19" s="1"/>
  <c r="D236" i="19" s="1"/>
  <c r="Q236" i="19" s="1"/>
  <c r="E198" i="19"/>
  <c r="D198" i="19" s="1"/>
  <c r="Q198" i="19" s="1"/>
  <c r="S198" i="19" s="1"/>
  <c r="F281" i="19"/>
  <c r="E281" i="19" s="1"/>
  <c r="D281" i="19" s="1"/>
  <c r="Q281" i="19" s="1"/>
  <c r="S281" i="19" s="1"/>
  <c r="F231" i="19"/>
  <c r="E231" i="19" s="1"/>
  <c r="D231" i="19" s="1"/>
  <c r="Q231" i="19" s="1"/>
  <c r="S231" i="19" s="1"/>
  <c r="F153" i="19"/>
  <c r="E153" i="19" s="1"/>
  <c r="D153" i="19" s="1"/>
  <c r="Q153" i="19" s="1"/>
  <c r="F111" i="19"/>
  <c r="E111" i="19" s="1"/>
  <c r="D111" i="19" s="1"/>
  <c r="Q111" i="19" s="1"/>
  <c r="F9" i="19"/>
  <c r="E9" i="19" s="1"/>
  <c r="D9" i="19" s="1"/>
  <c r="Q9" i="19" s="1"/>
  <c r="F36" i="19"/>
  <c r="E36" i="19" s="1"/>
  <c r="D36" i="19" s="1"/>
  <c r="Q36" i="19" s="1"/>
  <c r="S36" i="19" s="1"/>
  <c r="E297" i="19"/>
  <c r="D297" i="19" s="1"/>
  <c r="Q297" i="19" s="1"/>
  <c r="S297" i="19" s="1"/>
  <c r="E318" i="19"/>
  <c r="D318" i="19" s="1"/>
  <c r="Q318" i="19" s="1"/>
  <c r="S318" i="19" s="1"/>
  <c r="E311" i="19"/>
  <c r="D311" i="19" s="1"/>
  <c r="Q311" i="19" s="1"/>
  <c r="S311" i="19" s="1"/>
  <c r="E97" i="19"/>
  <c r="D97" i="19" s="1"/>
  <c r="Q97" i="19" s="1"/>
  <c r="E248" i="19"/>
  <c r="D248" i="19" s="1"/>
  <c r="Q248" i="19" s="1"/>
  <c r="S248" i="19" s="1"/>
  <c r="F273" i="19"/>
  <c r="E273" i="19" s="1"/>
  <c r="D273" i="19" s="1"/>
  <c r="Q273" i="19" s="1"/>
  <c r="S273" i="19" s="1"/>
  <c r="E267" i="19"/>
  <c r="D267" i="19" s="1"/>
  <c r="Q267" i="19" s="1"/>
  <c r="S267" i="19" s="1"/>
  <c r="F220" i="19"/>
  <c r="E220" i="19" s="1"/>
  <c r="D220" i="19" s="1"/>
  <c r="Q220" i="19" s="1"/>
  <c r="S220" i="19" s="1"/>
  <c r="E317" i="19"/>
  <c r="D317" i="19" s="1"/>
  <c r="Q317" i="19" s="1"/>
  <c r="S317" i="19" s="1"/>
  <c r="E316" i="19"/>
  <c r="D316" i="19" s="1"/>
  <c r="Q316" i="19" s="1"/>
  <c r="S316" i="19" s="1"/>
  <c r="E309" i="19"/>
  <c r="D309" i="19" s="1"/>
  <c r="Q309" i="19" s="1"/>
  <c r="S309" i="19" s="1"/>
  <c r="E328" i="19"/>
  <c r="D328" i="19" s="1"/>
  <c r="Q328" i="19" s="1"/>
  <c r="S328" i="19" s="1"/>
  <c r="E327" i="19"/>
  <c r="D327" i="19" s="1"/>
  <c r="Q327" i="19" s="1"/>
  <c r="S327" i="19" s="1"/>
  <c r="E304" i="19"/>
  <c r="D304" i="19" s="1"/>
  <c r="Q304" i="19" s="1"/>
  <c r="S304" i="19" s="1"/>
  <c r="E320" i="19"/>
  <c r="D320" i="19" s="1"/>
  <c r="Q320" i="19" s="1"/>
  <c r="S320" i="19" s="1"/>
  <c r="E313" i="19"/>
  <c r="D313" i="19" s="1"/>
  <c r="Q313" i="19" s="1"/>
  <c r="S313" i="19" s="1"/>
  <c r="E325" i="19"/>
  <c r="D325" i="19" s="1"/>
  <c r="Q325" i="19" s="1"/>
  <c r="S325" i="19" s="1"/>
  <c r="E299" i="19"/>
  <c r="D299" i="19" s="1"/>
  <c r="Q299" i="19" s="1"/>
  <c r="S299" i="19" s="1"/>
  <c r="E300" i="19"/>
  <c r="D300" i="19" s="1"/>
  <c r="Q300" i="19" s="1"/>
  <c r="S300" i="19" s="1"/>
  <c r="F324" i="19"/>
  <c r="E324" i="19" s="1"/>
  <c r="D324" i="19" s="1"/>
  <c r="Q324" i="19" s="1"/>
  <c r="S324" i="19" s="1"/>
  <c r="F247" i="19"/>
  <c r="E247" i="19" s="1"/>
  <c r="D247" i="19" s="1"/>
  <c r="Q247" i="19" s="1"/>
  <c r="S247" i="19" s="1"/>
  <c r="F261" i="19"/>
  <c r="E261" i="19" s="1"/>
  <c r="D261" i="19" s="1"/>
  <c r="Q261" i="19" s="1"/>
  <c r="S261" i="19" s="1"/>
  <c r="F289" i="19"/>
  <c r="E289" i="19" s="1"/>
  <c r="D289" i="19" s="1"/>
  <c r="Q289" i="19" s="1"/>
  <c r="S289" i="19" s="1"/>
  <c r="E172" i="19"/>
  <c r="D172" i="19" s="1"/>
  <c r="Q172" i="19" s="1"/>
  <c r="F107" i="19"/>
  <c r="E107" i="19" s="1"/>
  <c r="D107" i="19" s="1"/>
  <c r="Q107" i="19" s="1"/>
  <c r="E59" i="19"/>
  <c r="D59" i="19" s="1"/>
  <c r="Q59" i="19" s="1"/>
  <c r="F39" i="19"/>
  <c r="E39" i="19" s="1"/>
  <c r="D39" i="19" s="1"/>
  <c r="Q39" i="19" s="1"/>
  <c r="F63" i="19"/>
  <c r="E63" i="19" s="1"/>
  <c r="D63" i="19" s="1"/>
  <c r="Q63" i="19" s="1"/>
  <c r="S63" i="19" s="1"/>
  <c r="F88" i="19"/>
  <c r="E88" i="19" s="1"/>
  <c r="D88" i="19" s="1"/>
  <c r="Q88" i="19" s="1"/>
  <c r="E242" i="19"/>
  <c r="D242" i="19" s="1"/>
  <c r="Q242" i="19" s="1"/>
  <c r="S242" i="19" s="1"/>
  <c r="F268" i="19"/>
  <c r="E268" i="19" s="1"/>
  <c r="D268" i="19" s="1"/>
  <c r="Q268" i="19" s="1"/>
  <c r="S268" i="19" s="1"/>
  <c r="E113" i="19"/>
  <c r="D113" i="19" s="1"/>
  <c r="Q113" i="19" s="1"/>
  <c r="E30" i="19"/>
  <c r="D30" i="19" s="1"/>
  <c r="Q30" i="19" s="1"/>
  <c r="F225" i="19"/>
  <c r="E225" i="19" s="1"/>
  <c r="D225" i="19" s="1"/>
  <c r="Q225" i="19" s="1"/>
  <c r="S225" i="19" s="1"/>
  <c r="E252" i="19"/>
  <c r="D252" i="19" s="1"/>
  <c r="Q252" i="19" s="1"/>
  <c r="S252" i="19" s="1"/>
  <c r="E260" i="19"/>
  <c r="D260" i="19" s="1"/>
  <c r="Q260" i="19" s="1"/>
  <c r="S260" i="19" s="1"/>
  <c r="F103" i="19"/>
  <c r="E103" i="19" s="1"/>
  <c r="D103" i="19" s="1"/>
  <c r="Q103" i="19" s="1"/>
  <c r="E52" i="19"/>
  <c r="D52" i="19" s="1"/>
  <c r="Q52" i="19" s="1"/>
  <c r="E112" i="19"/>
  <c r="D112" i="19" s="1"/>
  <c r="Q112" i="19" s="1"/>
  <c r="E244" i="19"/>
  <c r="D244" i="19" s="1"/>
  <c r="Q244" i="19" s="1"/>
  <c r="S244" i="19" s="1"/>
  <c r="F140" i="19"/>
  <c r="E140" i="19" s="1"/>
  <c r="D140" i="19" s="1"/>
  <c r="Q140" i="19" s="1"/>
  <c r="F296" i="19"/>
  <c r="E296" i="19" s="1"/>
  <c r="D296" i="19" s="1"/>
  <c r="Q296" i="19" s="1"/>
  <c r="S296" i="19" s="1"/>
  <c r="F185" i="19"/>
  <c r="E185" i="19" s="1"/>
  <c r="D185" i="19" s="1"/>
  <c r="Q185" i="19" s="1"/>
  <c r="F154" i="19"/>
  <c r="E154" i="19" s="1"/>
  <c r="D154" i="19" s="1"/>
  <c r="Q154" i="19" s="1"/>
  <c r="F290" i="19"/>
  <c r="E290" i="19" s="1"/>
  <c r="D290" i="19" s="1"/>
  <c r="Q290" i="19" s="1"/>
  <c r="S290" i="19" s="1"/>
  <c r="E246" i="19"/>
  <c r="D246" i="19" s="1"/>
  <c r="Q246" i="19" s="1"/>
  <c r="S246" i="19" s="1"/>
  <c r="E130" i="19"/>
  <c r="D130" i="19" s="1"/>
  <c r="Q130" i="19" s="1"/>
  <c r="F193" i="19"/>
  <c r="E193" i="19" s="1"/>
  <c r="D193" i="19" s="1"/>
  <c r="Q193" i="19" s="1"/>
  <c r="S193" i="19" s="1"/>
  <c r="F207" i="19"/>
  <c r="E207" i="19" s="1"/>
  <c r="D207" i="19" s="1"/>
  <c r="Q207" i="19" s="1"/>
  <c r="S207" i="19" s="1"/>
  <c r="F175" i="19"/>
  <c r="E175" i="19" s="1"/>
  <c r="D175" i="19" s="1"/>
  <c r="Q175" i="19" s="1"/>
  <c r="S175" i="19" s="1"/>
  <c r="F134" i="19"/>
  <c r="E134" i="19" s="1"/>
  <c r="D134" i="19" s="1"/>
  <c r="Q134" i="19" s="1"/>
  <c r="E167" i="19"/>
  <c r="D167" i="19" s="1"/>
  <c r="Q167" i="19" s="1"/>
  <c r="E55" i="19"/>
  <c r="D55" i="19" s="1"/>
  <c r="Q55" i="19" s="1"/>
  <c r="F12" i="19"/>
  <c r="E12" i="19" s="1"/>
  <c r="D12" i="19" s="1"/>
  <c r="Q12" i="19" s="1"/>
  <c r="F50" i="19"/>
  <c r="E50" i="19" s="1"/>
  <c r="D50" i="19" s="1"/>
  <c r="Q50" i="19" s="1"/>
  <c r="F162" i="19"/>
  <c r="E162" i="19" s="1"/>
  <c r="D162" i="19" s="1"/>
  <c r="Q162" i="19" s="1"/>
  <c r="S162" i="19" s="1"/>
  <c r="F95" i="19"/>
  <c r="E95" i="19" s="1"/>
  <c r="D95" i="19" s="1"/>
  <c r="Q95" i="19" s="1"/>
  <c r="S95" i="19" s="1"/>
  <c r="E56" i="19"/>
  <c r="D56" i="19" s="1"/>
  <c r="Q56" i="19" s="1"/>
  <c r="F150" i="19"/>
  <c r="E150" i="19" s="1"/>
  <c r="D150" i="19" s="1"/>
  <c r="Q150" i="19" s="1"/>
  <c r="S150" i="19" s="1"/>
  <c r="F114" i="19"/>
  <c r="E114" i="19" s="1"/>
  <c r="D114" i="19" s="1"/>
  <c r="Q114" i="19" s="1"/>
  <c r="F99" i="19"/>
  <c r="E99" i="19" s="1"/>
  <c r="D99" i="19" s="1"/>
  <c r="Q99" i="19" s="1"/>
  <c r="F89" i="19"/>
  <c r="E89" i="19" s="1"/>
  <c r="D89" i="19" s="1"/>
  <c r="Q89" i="19" s="1"/>
  <c r="E240" i="19"/>
  <c r="D240" i="19" s="1"/>
  <c r="Q240" i="19" s="1"/>
  <c r="S240" i="19" s="1"/>
  <c r="F286" i="19"/>
  <c r="E286" i="19" s="1"/>
  <c r="D286" i="19" s="1"/>
  <c r="Q286" i="19" s="1"/>
  <c r="S286" i="19" s="1"/>
  <c r="E243" i="19"/>
  <c r="D243" i="19" s="1"/>
  <c r="Q243" i="19" s="1"/>
  <c r="S243" i="19" s="1"/>
  <c r="F91" i="19"/>
  <c r="E91" i="19" s="1"/>
  <c r="D91" i="19" s="1"/>
  <c r="Q91" i="19" s="1"/>
  <c r="F294" i="19"/>
  <c r="E294" i="19" s="1"/>
  <c r="D294" i="19" s="1"/>
  <c r="Q294" i="19" s="1"/>
  <c r="S294" i="19" s="1"/>
  <c r="E245" i="19"/>
  <c r="D245" i="19" s="1"/>
  <c r="Q245" i="19" s="1"/>
  <c r="S245" i="19" s="1"/>
  <c r="F98" i="19"/>
  <c r="E98" i="19" s="1"/>
  <c r="D98" i="19" s="1"/>
  <c r="Q98" i="19" s="1"/>
  <c r="E184" i="19"/>
  <c r="D184" i="19" s="1"/>
  <c r="Q184" i="19" s="1"/>
  <c r="E7" i="19"/>
  <c r="D7" i="19" s="1"/>
  <c r="Q7" i="19" s="1"/>
  <c r="S7" i="19" s="1"/>
  <c r="F42" i="19"/>
  <c r="E42" i="19" s="1"/>
  <c r="D42" i="19" s="1"/>
  <c r="Q42" i="19" s="1"/>
  <c r="E31" i="19"/>
  <c r="D31" i="19" s="1"/>
  <c r="Q31" i="19" s="1"/>
  <c r="E151" i="19"/>
  <c r="D151" i="19" s="1"/>
  <c r="Q151" i="19" s="1"/>
  <c r="F263" i="19"/>
  <c r="E263" i="19" s="1"/>
  <c r="D263" i="19" s="1"/>
  <c r="Q263" i="19" s="1"/>
  <c r="S263" i="19" s="1"/>
  <c r="F141" i="19"/>
  <c r="E141" i="19" s="1"/>
  <c r="D141" i="19" s="1"/>
  <c r="Q141" i="19" s="1"/>
  <c r="F19" i="19"/>
  <c r="E19" i="19" s="1"/>
  <c r="D19" i="19" s="1"/>
  <c r="Q19" i="19" s="1"/>
  <c r="E189" i="19"/>
  <c r="D189" i="19" s="1"/>
  <c r="Q189" i="19" s="1"/>
  <c r="S189" i="19" s="1"/>
  <c r="F16" i="19"/>
  <c r="E16" i="19" s="1"/>
  <c r="D16" i="19" s="1"/>
  <c r="Q16" i="19" s="1"/>
  <c r="E238" i="19"/>
  <c r="D238" i="19" s="1"/>
  <c r="Q238" i="19" s="1"/>
  <c r="S238" i="19" s="1"/>
  <c r="F49" i="19"/>
  <c r="E49" i="19" s="1"/>
  <c r="D49" i="19" s="1"/>
  <c r="Q49" i="19" s="1"/>
  <c r="F18" i="19"/>
  <c r="E18" i="19" s="1"/>
  <c r="D18" i="19" s="1"/>
  <c r="Q18" i="19" s="1"/>
  <c r="F223" i="19"/>
  <c r="E223" i="19" s="1"/>
  <c r="D223" i="19" s="1"/>
  <c r="Q223" i="19" s="1"/>
  <c r="S223" i="19" s="1"/>
  <c r="F158" i="19"/>
  <c r="E158" i="19" s="1"/>
  <c r="D158" i="19" s="1"/>
  <c r="Q158" i="19" s="1"/>
  <c r="E83" i="19"/>
  <c r="D83" i="19" s="1"/>
  <c r="Q83" i="19" s="1"/>
  <c r="F37" i="19"/>
  <c r="E37" i="19" s="1"/>
  <c r="D37" i="19" s="1"/>
  <c r="Q37" i="19" s="1"/>
  <c r="F148" i="19"/>
  <c r="E148" i="19" s="1"/>
  <c r="D148" i="19" s="1"/>
  <c r="Q148" i="19" s="1"/>
  <c r="S148" i="19" s="1"/>
  <c r="E181" i="19"/>
  <c r="D181" i="19" s="1"/>
  <c r="Q181" i="19" s="1"/>
  <c r="F138" i="19"/>
  <c r="E138" i="19" s="1"/>
  <c r="D138" i="19" s="1"/>
  <c r="Q138" i="19" s="1"/>
  <c r="F101" i="19"/>
  <c r="E101" i="19" s="1"/>
  <c r="D101" i="19" s="1"/>
  <c r="Q101" i="19" s="1"/>
  <c r="E58" i="19"/>
  <c r="D58" i="19" s="1"/>
  <c r="Q58" i="19" s="1"/>
  <c r="F47" i="19"/>
  <c r="E47" i="19" s="1"/>
  <c r="D47" i="19" s="1"/>
  <c r="Q47" i="19" s="1"/>
  <c r="F200" i="19"/>
  <c r="E200" i="19" s="1"/>
  <c r="D200" i="19" s="1"/>
  <c r="Q200" i="19" s="1"/>
  <c r="S200" i="19" s="1"/>
  <c r="E241" i="19"/>
  <c r="D241" i="19" s="1"/>
  <c r="Q241" i="19" s="1"/>
  <c r="S241" i="19" s="1"/>
  <c r="E171" i="19"/>
  <c r="D171" i="19" s="1"/>
  <c r="Q171" i="19" s="1"/>
  <c r="E33" i="19"/>
  <c r="D33" i="19" s="1"/>
  <c r="Q33" i="19" s="1"/>
  <c r="F96" i="19"/>
  <c r="E96" i="19" s="1"/>
  <c r="D96" i="19" s="1"/>
  <c r="Q96" i="19" s="1"/>
  <c r="F64" i="19"/>
  <c r="E64" i="19" s="1"/>
  <c r="D64" i="19" s="1"/>
  <c r="Q64" i="19" s="1"/>
  <c r="F274" i="19"/>
  <c r="E274" i="19" s="1"/>
  <c r="D274" i="19" s="1"/>
  <c r="Q274" i="19" s="1"/>
  <c r="S274" i="19" s="1"/>
  <c r="F221" i="19"/>
  <c r="E221" i="19" s="1"/>
  <c r="D221" i="19" s="1"/>
  <c r="Q221" i="19" s="1"/>
  <c r="S221" i="19" s="1"/>
  <c r="F253" i="19"/>
  <c r="E253" i="19" s="1"/>
  <c r="D253" i="19" s="1"/>
  <c r="Q253" i="19" s="1"/>
  <c r="S253" i="19" s="1"/>
  <c r="F228" i="19"/>
  <c r="E228" i="19" s="1"/>
  <c r="D228" i="19" s="1"/>
  <c r="Q228" i="19" s="1"/>
  <c r="S228" i="19" s="1"/>
  <c r="F278" i="19"/>
  <c r="E278" i="19" s="1"/>
  <c r="D278" i="19" s="1"/>
  <c r="Q278" i="19" s="1"/>
  <c r="S278" i="19" s="1"/>
  <c r="E133" i="19"/>
  <c r="D133" i="19" s="1"/>
  <c r="Q133" i="19" s="1"/>
  <c r="F66" i="19"/>
  <c r="E66" i="19" s="1"/>
  <c r="D66" i="19" s="1"/>
  <c r="Q66" i="19" s="1"/>
  <c r="F227" i="19"/>
  <c r="E227" i="19" s="1"/>
  <c r="D227" i="19" s="1"/>
  <c r="Q227" i="19" s="1"/>
  <c r="S227" i="19" s="1"/>
  <c r="F143" i="19"/>
  <c r="E143" i="19" s="1"/>
  <c r="D143" i="19" s="1"/>
  <c r="Q143" i="19" s="1"/>
  <c r="E60" i="19"/>
  <c r="D60" i="19" s="1"/>
  <c r="Q60" i="19" s="1"/>
  <c r="F10" i="19"/>
  <c r="E10" i="19" s="1"/>
  <c r="D10" i="19" s="1"/>
  <c r="Q10" i="19" s="1"/>
  <c r="E25" i="19"/>
  <c r="D25" i="19" s="1"/>
  <c r="Q25" i="19" s="1"/>
  <c r="F201" i="19"/>
  <c r="E201" i="19" s="1"/>
  <c r="D201" i="19" s="1"/>
  <c r="Q201" i="19" s="1"/>
  <c r="S201" i="19" s="1"/>
  <c r="F265" i="19"/>
  <c r="E265" i="19" s="1"/>
  <c r="D265" i="19" s="1"/>
  <c r="Q265" i="19" s="1"/>
  <c r="S265" i="19" s="1"/>
  <c r="F44" i="19"/>
  <c r="E44" i="19" s="1"/>
  <c r="D44" i="19" s="1"/>
  <c r="Q44" i="19" s="1"/>
  <c r="E11" i="19"/>
  <c r="D11" i="19" s="1"/>
  <c r="Q11" i="19" s="1"/>
  <c r="G32" i="19"/>
  <c r="F32" i="19" s="1"/>
  <c r="E32" i="19" s="1"/>
  <c r="D32" i="19" s="1"/>
  <c r="Q32" i="19" s="1"/>
  <c r="F183" i="19"/>
  <c r="E183" i="19" s="1"/>
  <c r="D183" i="19" s="1"/>
  <c r="Q183" i="19" s="1"/>
  <c r="E180" i="19"/>
  <c r="D180" i="19" s="1"/>
  <c r="Q180" i="19" s="1"/>
  <c r="E163" i="19"/>
  <c r="D163" i="19" s="1"/>
  <c r="Q163" i="19" s="1"/>
  <c r="S163" i="19" s="1"/>
  <c r="E54" i="19"/>
  <c r="D54" i="19" s="1"/>
  <c r="Q54" i="19" s="1"/>
  <c r="F15" i="19"/>
  <c r="E15" i="19" s="1"/>
  <c r="D15" i="19" s="1"/>
  <c r="Q15" i="19" s="1"/>
  <c r="F205" i="19"/>
  <c r="E205" i="19" s="1"/>
  <c r="D205" i="19" s="1"/>
  <c r="Q205" i="19" s="1"/>
  <c r="S205" i="19" s="1"/>
  <c r="F145" i="19"/>
  <c r="E145" i="19" s="1"/>
  <c r="D145" i="19" s="1"/>
  <c r="Q145" i="19" s="1"/>
  <c r="E29" i="19"/>
  <c r="D29" i="19" s="1"/>
  <c r="Q29" i="19" s="1"/>
  <c r="F287" i="19"/>
  <c r="E287" i="19" s="1"/>
  <c r="D287" i="19" s="1"/>
  <c r="Q287" i="19" s="1"/>
  <c r="S287" i="19" s="1"/>
  <c r="E178" i="19"/>
  <c r="D178" i="19" s="1"/>
  <c r="Q178" i="19" s="1"/>
  <c r="S178" i="19" s="1"/>
  <c r="E182" i="19"/>
  <c r="D182" i="19" s="1"/>
  <c r="Q182" i="19" s="1"/>
  <c r="E135" i="19"/>
  <c r="D135" i="19" s="1"/>
  <c r="Q135" i="19" s="1"/>
  <c r="S135" i="19" s="1"/>
  <c r="E173" i="19"/>
  <c r="D173" i="19" s="1"/>
  <c r="Q173" i="19" s="1"/>
  <c r="E27" i="19"/>
  <c r="D27" i="19" s="1"/>
  <c r="Q27" i="19" s="1"/>
  <c r="F14" i="19"/>
  <c r="E14" i="19" s="1"/>
  <c r="D14" i="19" s="1"/>
  <c r="Q14" i="19" s="1"/>
  <c r="G137" i="19"/>
  <c r="F137" i="19" s="1"/>
  <c r="E137" i="19" s="1"/>
  <c r="D137" i="19" s="1"/>
  <c r="Q137" i="19" s="1"/>
  <c r="G144" i="19"/>
  <c r="F144" i="19" s="1"/>
  <c r="E144" i="19" s="1"/>
  <c r="D144" i="19" s="1"/>
  <c r="Q144" i="19" s="1"/>
  <c r="G147" i="19"/>
  <c r="F147" i="19" s="1"/>
  <c r="E147" i="19" s="1"/>
  <c r="D147" i="19" s="1"/>
  <c r="Q147" i="19" s="1"/>
  <c r="S147" i="19" s="1"/>
  <c r="G73" i="19"/>
  <c r="F73" i="19" s="1"/>
  <c r="E73" i="19" s="1"/>
  <c r="D73" i="19" s="1"/>
  <c r="Q73" i="19" s="1"/>
  <c r="G93" i="19"/>
  <c r="F93" i="19" s="1"/>
  <c r="E93" i="19" s="1"/>
  <c r="D93" i="19" s="1"/>
  <c r="Q93" i="19" s="1"/>
  <c r="F70" i="19"/>
  <c r="E70" i="19" s="1"/>
  <c r="D70" i="19" s="1"/>
  <c r="Q70" i="19" s="1"/>
  <c r="G74" i="19"/>
  <c r="F74" i="19" s="1"/>
  <c r="E74" i="19" s="1"/>
  <c r="D74" i="19" s="1"/>
  <c r="Q74" i="19" s="1"/>
  <c r="G21" i="19"/>
  <c r="F21" i="19" s="1"/>
  <c r="E21" i="19" s="1"/>
  <c r="D21" i="19" s="1"/>
  <c r="Q21" i="19" s="1"/>
  <c r="S21" i="19" s="1"/>
  <c r="G142" i="19"/>
  <c r="F142" i="19" s="1"/>
  <c r="E142" i="19" s="1"/>
  <c r="D142" i="19" s="1"/>
  <c r="Q142" i="19" s="1"/>
  <c r="G75" i="19"/>
  <c r="F75" i="19" s="1"/>
  <c r="E75" i="19" s="1"/>
  <c r="D75" i="19" s="1"/>
  <c r="Q75" i="19" s="1"/>
  <c r="G35" i="19"/>
  <c r="F35" i="19" s="1"/>
  <c r="E35" i="19" s="1"/>
  <c r="D35" i="19" s="1"/>
  <c r="Q35" i="19" s="1"/>
  <c r="F222" i="19"/>
  <c r="E222" i="19" s="1"/>
  <c r="D222" i="19" s="1"/>
  <c r="Q222" i="19" s="1"/>
  <c r="S222" i="19" s="1"/>
  <c r="F125" i="19"/>
  <c r="E125" i="19" s="1"/>
  <c r="D125" i="19" s="1"/>
  <c r="Q125" i="19" s="1"/>
  <c r="F68" i="19"/>
  <c r="E68" i="19" s="1"/>
  <c r="D68" i="19" s="1"/>
  <c r="Q68" i="19" s="1"/>
  <c r="G17" i="19"/>
  <c r="F17" i="19" s="1"/>
  <c r="E17" i="19" s="1"/>
  <c r="D17" i="19" s="1"/>
  <c r="Q17" i="19" s="1"/>
  <c r="E169" i="19"/>
  <c r="D169" i="19" s="1"/>
  <c r="Q169" i="19" s="1"/>
  <c r="G84" i="19"/>
  <c r="F84" i="19" s="1"/>
  <c r="E84" i="19" s="1"/>
  <c r="D84" i="19" s="1"/>
  <c r="Q84" i="19" s="1"/>
  <c r="G45" i="19"/>
  <c r="F45" i="19" s="1"/>
  <c r="E45" i="19" s="1"/>
  <c r="D45" i="19" s="1"/>
  <c r="Q45" i="19" s="1"/>
  <c r="G170" i="19"/>
  <c r="F170" i="19" s="1"/>
  <c r="E170" i="19" s="1"/>
  <c r="D170" i="19" s="1"/>
  <c r="Q170" i="19" s="1"/>
  <c r="F179" i="19"/>
  <c r="E179" i="19" s="1"/>
  <c r="D179" i="19" s="1"/>
  <c r="Q179" i="19" s="1"/>
  <c r="S179" i="19" s="1"/>
  <c r="G136" i="19"/>
  <c r="F136" i="19" s="1"/>
  <c r="E136" i="19" s="1"/>
  <c r="D136" i="19" s="1"/>
  <c r="Q136" i="19" s="1"/>
  <c r="G164" i="19"/>
  <c r="F164" i="19" s="1"/>
  <c r="E164" i="19" s="1"/>
  <c r="D164" i="19" s="1"/>
  <c r="Q164" i="19" s="1"/>
  <c r="S164" i="19" s="1"/>
  <c r="F77" i="19"/>
  <c r="E77" i="19" s="1"/>
  <c r="D77" i="19" s="1"/>
  <c r="Q77" i="19" s="1"/>
  <c r="G78" i="19"/>
  <c r="F78" i="19" s="1"/>
  <c r="E78" i="19" s="1"/>
  <c r="D78" i="19" s="1"/>
  <c r="Q78" i="19" s="1"/>
  <c r="G65" i="19"/>
  <c r="F65" i="19" s="1"/>
  <c r="E65" i="19" s="1"/>
  <c r="D65" i="19" s="1"/>
  <c r="Q65" i="19" s="1"/>
  <c r="F13" i="19"/>
  <c r="E13" i="19" s="1"/>
  <c r="D13" i="19" s="1"/>
  <c r="Q13" i="19" s="1"/>
  <c r="G187" i="19"/>
  <c r="F187" i="19" s="1"/>
  <c r="E187" i="19" s="1"/>
  <c r="D187" i="19" s="1"/>
  <c r="Q187" i="19" s="1"/>
  <c r="G168" i="19"/>
  <c r="F168" i="19" s="1"/>
  <c r="E168" i="19" s="1"/>
  <c r="D168" i="19" s="1"/>
  <c r="Q168" i="19" s="1"/>
  <c r="F197" i="19"/>
  <c r="E197" i="19" s="1"/>
  <c r="D197" i="19" s="1"/>
  <c r="Q197" i="19" s="1"/>
  <c r="S197" i="19" s="1"/>
  <c r="G92" i="19"/>
  <c r="F92" i="19" s="1"/>
  <c r="E92" i="19" s="1"/>
  <c r="D92" i="19" s="1"/>
  <c r="Q92" i="19" s="1"/>
  <c r="S92" i="19" s="1"/>
  <c r="G159" i="19"/>
  <c r="F159" i="19" s="1"/>
  <c r="E159" i="19" s="1"/>
  <c r="D159" i="19" s="1"/>
  <c r="Q159" i="19" s="1"/>
  <c r="G67" i="19"/>
  <c r="F67" i="19" s="1"/>
  <c r="E67" i="19" s="1"/>
  <c r="D67" i="19" s="1"/>
  <c r="Q67" i="19" s="1"/>
  <c r="G80" i="19"/>
  <c r="F80" i="19" s="1"/>
  <c r="E80" i="19" s="1"/>
  <c r="D80" i="19" s="1"/>
  <c r="Q80" i="19" s="1"/>
  <c r="S80" i="19" s="1"/>
  <c r="F43" i="19"/>
  <c r="E43" i="19" s="1"/>
  <c r="D43" i="19" s="1"/>
  <c r="Q43" i="19" s="1"/>
  <c r="G40" i="19"/>
  <c r="F40" i="19" s="1"/>
  <c r="E40" i="19" s="1"/>
  <c r="D40" i="19" s="1"/>
  <c r="Q40" i="19" s="1"/>
  <c r="G23" i="19"/>
  <c r="F23" i="19" s="1"/>
  <c r="E23" i="19" s="1"/>
  <c r="D23" i="19" s="1"/>
  <c r="Q23" i="19" s="1"/>
  <c r="G22" i="19"/>
  <c r="F22" i="19" s="1"/>
  <c r="E22" i="19" s="1"/>
  <c r="D22" i="19" s="1"/>
  <c r="Q22" i="19" s="1"/>
  <c r="G166" i="19"/>
  <c r="F166" i="19" s="1"/>
  <c r="E166" i="19" s="1"/>
  <c r="D166" i="19" s="1"/>
  <c r="Q166" i="19" s="1"/>
  <c r="G139" i="19"/>
  <c r="F139" i="19" s="1"/>
  <c r="E139" i="19" s="1"/>
  <c r="D139" i="19" s="1"/>
  <c r="Q139" i="19" s="1"/>
  <c r="F129" i="19"/>
  <c r="E129" i="19" s="1"/>
  <c r="D129" i="19" s="1"/>
  <c r="Q129" i="19" s="1"/>
  <c r="F79" i="19"/>
  <c r="E79" i="19" s="1"/>
  <c r="D79" i="19" s="1"/>
  <c r="Q79" i="19" s="1"/>
  <c r="G69" i="19"/>
  <c r="F69" i="19" s="1"/>
  <c r="E69" i="19" s="1"/>
  <c r="D69" i="19" s="1"/>
  <c r="Q69" i="19" s="1"/>
  <c r="G38" i="19"/>
  <c r="F38" i="19" s="1"/>
  <c r="E38" i="19" s="1"/>
  <c r="D38" i="19" s="1"/>
  <c r="Q38" i="19" s="1"/>
  <c r="G28" i="19"/>
  <c r="F28" i="19" s="1"/>
  <c r="E28" i="19" s="1"/>
  <c r="D28" i="19" s="1"/>
  <c r="Q28" i="19" s="1"/>
  <c r="F190" i="19"/>
  <c r="E190" i="19" s="1"/>
  <c r="D190" i="19" s="1"/>
  <c r="Q190" i="19" s="1"/>
  <c r="S190" i="19" s="1"/>
  <c r="F72" i="19"/>
  <c r="E72" i="19" s="1"/>
  <c r="D72" i="19" s="1"/>
  <c r="Q72" i="19" s="1"/>
  <c r="G71" i="19"/>
  <c r="F71" i="19" s="1"/>
  <c r="E71" i="19" s="1"/>
  <c r="D71" i="19" s="1"/>
  <c r="Q71" i="19" s="1"/>
  <c r="G26" i="19"/>
  <c r="F26" i="19" s="1"/>
  <c r="E26" i="19" s="1"/>
  <c r="D26" i="19" s="1"/>
  <c r="Q26" i="19" s="1"/>
  <c r="H32" i="16"/>
  <c r="G35" i="16"/>
  <c r="G28" i="16"/>
  <c r="H25" i="16"/>
  <c r="I37" i="16"/>
  <c r="G32" i="16"/>
  <c r="F32" i="16" s="1"/>
  <c r="E32" i="16" s="1"/>
  <c r="D32" i="16" s="1"/>
  <c r="Q32" i="16" s="1"/>
  <c r="G34" i="16"/>
  <c r="F34" i="16" s="1"/>
  <c r="G23" i="16"/>
  <c r="F23" i="16" s="1"/>
  <c r="E23" i="16" s="1"/>
  <c r="D23" i="16" s="1"/>
  <c r="Q23" i="16" s="1"/>
  <c r="G37" i="16"/>
  <c r="F37" i="16" s="1"/>
  <c r="E37" i="16" s="1"/>
  <c r="D37" i="16" s="1"/>
  <c r="Q37" i="16" s="1"/>
  <c r="G31" i="16"/>
  <c r="G36" i="16"/>
  <c r="H26" i="16"/>
  <c r="H23" i="16"/>
  <c r="G30" i="16"/>
  <c r="F30" i="16" s="1"/>
  <c r="E30" i="16" s="1"/>
  <c r="D30" i="16" s="1"/>
  <c r="Q30" i="16" s="1"/>
  <c r="G33" i="16"/>
  <c r="I29" i="16"/>
  <c r="I38" i="16"/>
  <c r="I34" i="16"/>
  <c r="G38" i="16"/>
  <c r="F38" i="16" s="1"/>
  <c r="H40" i="16"/>
  <c r="F40" i="16" s="1"/>
  <c r="E40" i="16" s="1"/>
  <c r="D40" i="16" s="1"/>
  <c r="Q40" i="16" s="1"/>
  <c r="G29" i="16"/>
  <c r="F29" i="16" s="1"/>
  <c r="G22" i="16"/>
  <c r="F22" i="16" s="1"/>
  <c r="G20" i="16"/>
  <c r="I22" i="16"/>
  <c r="G26" i="16"/>
  <c r="H33" i="16"/>
  <c r="H36" i="16"/>
  <c r="I30" i="16"/>
  <c r="G39" i="16"/>
  <c r="G24" i="16"/>
  <c r="H31" i="16"/>
  <c r="H39" i="16"/>
  <c r="G27" i="16"/>
  <c r="I31" i="16"/>
  <c r="I39" i="16"/>
  <c r="H20" i="16"/>
  <c r="H24" i="16"/>
  <c r="H28" i="16"/>
  <c r="H35" i="16"/>
  <c r="I20" i="16"/>
  <c r="G21" i="16"/>
  <c r="F21" i="16" s="1"/>
  <c r="E21" i="16" s="1"/>
  <c r="D21" i="16" s="1"/>
  <c r="Q21" i="16" s="1"/>
  <c r="G25" i="16"/>
  <c r="F25" i="16" s="1"/>
  <c r="E25" i="16" s="1"/>
  <c r="D25" i="16" s="1"/>
  <c r="Q25" i="16" s="1"/>
  <c r="H27" i="16"/>
  <c r="S3" i="19" l="1"/>
  <c r="F28" i="16"/>
  <c r="E28" i="16" s="1"/>
  <c r="D28" i="16" s="1"/>
  <c r="Q28" i="16" s="1"/>
  <c r="F35" i="16"/>
  <c r="E35" i="16" s="1"/>
  <c r="D35" i="16" s="1"/>
  <c r="Q35" i="16" s="1"/>
  <c r="F39" i="16"/>
  <c r="E39" i="16" s="1"/>
  <c r="D39" i="16" s="1"/>
  <c r="Q39" i="16" s="1"/>
  <c r="E34" i="16"/>
  <c r="D34" i="16" s="1"/>
  <c r="Q34" i="16" s="1"/>
  <c r="F26" i="16"/>
  <c r="E26" i="16" s="1"/>
  <c r="D26" i="16" s="1"/>
  <c r="Q26" i="16" s="1"/>
  <c r="F36" i="16"/>
  <c r="E36" i="16" s="1"/>
  <c r="D36" i="16" s="1"/>
  <c r="Q36" i="16" s="1"/>
  <c r="F20" i="16"/>
  <c r="E20" i="16" s="1"/>
  <c r="D20" i="16" s="1"/>
  <c r="Q20" i="16" s="1"/>
  <c r="E22" i="16"/>
  <c r="D22" i="16" s="1"/>
  <c r="Q22" i="16" s="1"/>
  <c r="E38" i="16"/>
  <c r="D38" i="16" s="1"/>
  <c r="Q38" i="16" s="1"/>
  <c r="F31" i="16"/>
  <c r="E31" i="16" s="1"/>
  <c r="D31" i="16" s="1"/>
  <c r="Q31" i="16" s="1"/>
  <c r="E29" i="16"/>
  <c r="D29" i="16" s="1"/>
  <c r="Q29" i="16" s="1"/>
  <c r="F27" i="16"/>
  <c r="E27" i="16" s="1"/>
  <c r="D27" i="16" s="1"/>
  <c r="Q27" i="16" s="1"/>
  <c r="F33" i="16"/>
  <c r="E33" i="16" s="1"/>
  <c r="D33" i="16" s="1"/>
  <c r="Q33" i="16" s="1"/>
  <c r="F24" i="16"/>
  <c r="E24" i="16" s="1"/>
  <c r="D24" i="16" s="1"/>
  <c r="Q24" i="16" s="1"/>
  <c r="V232" i="5" l="1"/>
  <c r="V233" i="5"/>
  <c r="V234" i="5"/>
  <c r="V235" i="5"/>
  <c r="V236" i="5"/>
  <c r="V237" i="5"/>
  <c r="V238" i="5"/>
  <c r="V239" i="5"/>
  <c r="V240" i="5"/>
  <c r="V241" i="5"/>
  <c r="V242" i="5"/>
  <c r="V243" i="5"/>
  <c r="V244" i="5"/>
  <c r="V231" i="5"/>
  <c r="K219" i="5" l="1"/>
  <c r="K220" i="5"/>
  <c r="K221" i="5"/>
  <c r="K222" i="5"/>
  <c r="K223" i="5"/>
  <c r="K224" i="5"/>
  <c r="K225" i="5"/>
  <c r="K226" i="5"/>
  <c r="K227" i="5"/>
  <c r="K228" i="5"/>
  <c r="K229" i="5"/>
  <c r="K230" i="5"/>
  <c r="K231" i="5"/>
  <c r="K218" i="5"/>
  <c r="W232" i="5"/>
  <c r="X232" i="5" s="1"/>
  <c r="W233" i="5"/>
  <c r="X233" i="5" s="1"/>
  <c r="W234" i="5"/>
  <c r="X234" i="5" s="1"/>
  <c r="W235" i="5"/>
  <c r="W236" i="5"/>
  <c r="X236" i="5" s="1"/>
  <c r="W237" i="5"/>
  <c r="X237" i="5" s="1"/>
  <c r="W238" i="5"/>
  <c r="X238" i="5" s="1"/>
  <c r="W239" i="5"/>
  <c r="X239" i="5" s="1"/>
  <c r="W240" i="5"/>
  <c r="X240" i="5" s="1"/>
  <c r="W241" i="5"/>
  <c r="X241" i="5" s="1"/>
  <c r="W242" i="5"/>
  <c r="X242" i="5" s="1"/>
  <c r="W243" i="5"/>
  <c r="X243" i="5" s="1"/>
  <c r="W244" i="5"/>
  <c r="X244" i="5" s="1"/>
  <c r="W231" i="5"/>
  <c r="X231" i="5" s="1"/>
  <c r="X235" i="5"/>
  <c r="N222" i="5"/>
  <c r="M222" i="5"/>
  <c r="L222" i="5"/>
  <c r="J222" i="5"/>
  <c r="H222" i="5" s="1"/>
  <c r="N221" i="5"/>
  <c r="M221" i="5"/>
  <c r="L221" i="5"/>
  <c r="J221" i="5"/>
  <c r="I221" i="5" s="1"/>
  <c r="N220" i="5"/>
  <c r="M220" i="5"/>
  <c r="L220" i="5"/>
  <c r="J220" i="5"/>
  <c r="H220" i="5" s="1"/>
  <c r="N219" i="5"/>
  <c r="M219" i="5"/>
  <c r="L219" i="5"/>
  <c r="J219" i="5"/>
  <c r="H219" i="5" s="1"/>
  <c r="N218" i="5"/>
  <c r="M218" i="5"/>
  <c r="L218" i="5"/>
  <c r="J218" i="5"/>
  <c r="H218" i="5" s="1"/>
  <c r="N227" i="5"/>
  <c r="M227" i="5"/>
  <c r="L227" i="5"/>
  <c r="J227" i="5"/>
  <c r="N226" i="5"/>
  <c r="M226" i="5"/>
  <c r="L226" i="5"/>
  <c r="J226" i="5"/>
  <c r="H226" i="5" s="1"/>
  <c r="N225" i="5"/>
  <c r="M225" i="5"/>
  <c r="L225" i="5"/>
  <c r="J225" i="5"/>
  <c r="N224" i="5"/>
  <c r="M224" i="5"/>
  <c r="L224" i="5"/>
  <c r="J224" i="5"/>
  <c r="H224" i="5" s="1"/>
  <c r="N223" i="5"/>
  <c r="M223" i="5"/>
  <c r="L223" i="5"/>
  <c r="J223" i="5"/>
  <c r="H223" i="5" s="1"/>
  <c r="N231" i="5"/>
  <c r="M231" i="5"/>
  <c r="L231" i="5"/>
  <c r="J231" i="5"/>
  <c r="I231" i="5" s="1"/>
  <c r="N230" i="5"/>
  <c r="M230" i="5"/>
  <c r="L230" i="5"/>
  <c r="J230" i="5"/>
  <c r="I230" i="5" s="1"/>
  <c r="N229" i="5"/>
  <c r="M229" i="5"/>
  <c r="L229" i="5"/>
  <c r="J229" i="5"/>
  <c r="I229" i="5" s="1"/>
  <c r="N228" i="5"/>
  <c r="M228" i="5"/>
  <c r="L228" i="5"/>
  <c r="J228" i="5"/>
  <c r="I228" i="5" s="1"/>
  <c r="G220" i="5" l="1"/>
  <c r="F220" i="5" s="1"/>
  <c r="H221" i="5"/>
  <c r="G222" i="5"/>
  <c r="F222" i="5" s="1"/>
  <c r="I219" i="5"/>
  <c r="G221" i="5"/>
  <c r="G219" i="5"/>
  <c r="F219" i="5" s="1"/>
  <c r="G218" i="5"/>
  <c r="F218" i="5" s="1"/>
  <c r="I218" i="5"/>
  <c r="I220" i="5"/>
  <c r="I222" i="5"/>
  <c r="G223" i="5"/>
  <c r="F223" i="5" s="1"/>
  <c r="I224" i="5"/>
  <c r="I226" i="5"/>
  <c r="G226" i="5"/>
  <c r="F226" i="5" s="1"/>
  <c r="G225" i="5"/>
  <c r="G224" i="5"/>
  <c r="F224" i="5" s="1"/>
  <c r="G227" i="5"/>
  <c r="H225" i="5"/>
  <c r="H227" i="5"/>
  <c r="I225" i="5"/>
  <c r="I227" i="5"/>
  <c r="H230" i="5"/>
  <c r="I223" i="5"/>
  <c r="G230" i="5"/>
  <c r="H229" i="5"/>
  <c r="H228" i="5"/>
  <c r="G231" i="5"/>
  <c r="G229" i="5"/>
  <c r="G228" i="5"/>
  <c r="H231" i="5"/>
  <c r="N7" i="5"/>
  <c r="M7" i="5"/>
  <c r="L7" i="5"/>
  <c r="J7" i="5"/>
  <c r="I7" i="5" s="1"/>
  <c r="E222" i="5" l="1"/>
  <c r="D222" i="5" s="1"/>
  <c r="Q222" i="5" s="1"/>
  <c r="S222" i="5" s="1"/>
  <c r="E220" i="5"/>
  <c r="D220" i="5" s="1"/>
  <c r="Q220" i="5" s="1"/>
  <c r="S220" i="5" s="1"/>
  <c r="F225" i="5"/>
  <c r="E225" i="5" s="1"/>
  <c r="D225" i="5" s="1"/>
  <c r="Q225" i="5" s="1"/>
  <c r="S225" i="5" s="1"/>
  <c r="E219" i="5"/>
  <c r="D219" i="5" s="1"/>
  <c r="Q219" i="5" s="1"/>
  <c r="S219" i="5" s="1"/>
  <c r="F221" i="5"/>
  <c r="E221" i="5" s="1"/>
  <c r="D221" i="5" s="1"/>
  <c r="Q221" i="5" s="1"/>
  <c r="S221" i="5" s="1"/>
  <c r="E218" i="5"/>
  <c r="D218" i="5" s="1"/>
  <c r="Q218" i="5" s="1"/>
  <c r="S218" i="5" s="1"/>
  <c r="E224" i="5"/>
  <c r="D224" i="5" s="1"/>
  <c r="Q224" i="5" s="1"/>
  <c r="S224" i="5" s="1"/>
  <c r="E223" i="5"/>
  <c r="D223" i="5" s="1"/>
  <c r="Q223" i="5" s="1"/>
  <c r="S223" i="5" s="1"/>
  <c r="E226" i="5"/>
  <c r="D226" i="5" s="1"/>
  <c r="Q226" i="5" s="1"/>
  <c r="S226" i="5" s="1"/>
  <c r="F227" i="5"/>
  <c r="E227" i="5" s="1"/>
  <c r="D227" i="5" s="1"/>
  <c r="Q227" i="5" s="1"/>
  <c r="S227" i="5" s="1"/>
  <c r="F230" i="5"/>
  <c r="E230" i="5" s="1"/>
  <c r="D230" i="5" s="1"/>
  <c r="Q230" i="5" s="1"/>
  <c r="S230" i="5" s="1"/>
  <c r="F229" i="5"/>
  <c r="E229" i="5" s="1"/>
  <c r="D229" i="5" s="1"/>
  <c r="Q229" i="5" s="1"/>
  <c r="S229" i="5" s="1"/>
  <c r="F231" i="5"/>
  <c r="E231" i="5" s="1"/>
  <c r="D231" i="5" s="1"/>
  <c r="Q231" i="5" s="1"/>
  <c r="S231" i="5" s="1"/>
  <c r="F228" i="5"/>
  <c r="E228" i="5" s="1"/>
  <c r="D228" i="5" s="1"/>
  <c r="Q228" i="5" s="1"/>
  <c r="S228" i="5" s="1"/>
  <c r="H7" i="5"/>
  <c r="N291" i="5"/>
  <c r="M291" i="5"/>
  <c r="L291" i="5"/>
  <c r="J291" i="5"/>
  <c r="I291" i="5" s="1"/>
  <c r="N290" i="5"/>
  <c r="M290" i="5"/>
  <c r="L290" i="5"/>
  <c r="J290" i="5"/>
  <c r="N289" i="5"/>
  <c r="M289" i="5"/>
  <c r="L289" i="5"/>
  <c r="J289" i="5"/>
  <c r="I289" i="5" s="1"/>
  <c r="N288" i="5"/>
  <c r="M288" i="5"/>
  <c r="L288" i="5"/>
  <c r="J288" i="5"/>
  <c r="I288" i="5" s="1"/>
  <c r="N287" i="5"/>
  <c r="M287" i="5"/>
  <c r="L287" i="5"/>
  <c r="J287" i="5"/>
  <c r="I287" i="5" s="1"/>
  <c r="N286" i="5"/>
  <c r="M286" i="5"/>
  <c r="L286" i="5"/>
  <c r="J286" i="5"/>
  <c r="I286" i="5" s="1"/>
  <c r="N285" i="5"/>
  <c r="M285" i="5"/>
  <c r="L285" i="5"/>
  <c r="J285" i="5"/>
  <c r="I285" i="5" s="1"/>
  <c r="N284" i="5"/>
  <c r="M284" i="5"/>
  <c r="L284" i="5"/>
  <c r="J284" i="5"/>
  <c r="I284" i="5" s="1"/>
  <c r="N283" i="5"/>
  <c r="M283" i="5"/>
  <c r="L283" i="5"/>
  <c r="J283" i="5"/>
  <c r="I283" i="5" s="1"/>
  <c r="N282" i="5"/>
  <c r="M282" i="5"/>
  <c r="L282" i="5"/>
  <c r="J282" i="5"/>
  <c r="I282" i="5" s="1"/>
  <c r="N281" i="5"/>
  <c r="M281" i="5"/>
  <c r="L281" i="5"/>
  <c r="J281" i="5"/>
  <c r="I281" i="5" s="1"/>
  <c r="N280" i="5"/>
  <c r="M280" i="5"/>
  <c r="L280" i="5"/>
  <c r="J280" i="5"/>
  <c r="I280" i="5" s="1"/>
  <c r="N279" i="5"/>
  <c r="M279" i="5"/>
  <c r="L279" i="5"/>
  <c r="J279" i="5"/>
  <c r="I279" i="5" s="1"/>
  <c r="M159" i="17"/>
  <c r="N187" i="17"/>
  <c r="M187" i="17"/>
  <c r="L187" i="17"/>
  <c r="J187" i="17"/>
  <c r="I187" i="17" s="1"/>
  <c r="N186" i="17"/>
  <c r="M186" i="17"/>
  <c r="L186" i="17"/>
  <c r="J186" i="17"/>
  <c r="I186" i="17" s="1"/>
  <c r="N185" i="17"/>
  <c r="L185" i="17"/>
  <c r="J185" i="17"/>
  <c r="N184" i="17"/>
  <c r="L184" i="17"/>
  <c r="G184" i="17" s="1"/>
  <c r="J184" i="17"/>
  <c r="H184" i="17" s="1"/>
  <c r="N183" i="17"/>
  <c r="L183" i="17"/>
  <c r="G183" i="17" s="1"/>
  <c r="J183" i="17"/>
  <c r="I183" i="17" s="1"/>
  <c r="N182" i="17"/>
  <c r="L182" i="17"/>
  <c r="G182" i="17" s="1"/>
  <c r="J182" i="17"/>
  <c r="I182" i="17" s="1"/>
  <c r="N181" i="17"/>
  <c r="L181" i="17"/>
  <c r="J181" i="17"/>
  <c r="N180" i="17"/>
  <c r="L180" i="17"/>
  <c r="G180" i="17" s="1"/>
  <c r="J180" i="17"/>
  <c r="H180" i="17" s="1"/>
  <c r="N179" i="17"/>
  <c r="L179" i="17"/>
  <c r="G179" i="17" s="1"/>
  <c r="J179" i="17"/>
  <c r="I179" i="17" s="1"/>
  <c r="N178" i="17"/>
  <c r="L178" i="17"/>
  <c r="G178" i="17" s="1"/>
  <c r="J178" i="17"/>
  <c r="I178" i="17" s="1"/>
  <c r="N177" i="17"/>
  <c r="L177" i="17"/>
  <c r="J177" i="17"/>
  <c r="N176" i="17"/>
  <c r="L176" i="17"/>
  <c r="G176" i="17" s="1"/>
  <c r="J176" i="17"/>
  <c r="H176" i="17" s="1"/>
  <c r="N175" i="17"/>
  <c r="L175" i="17"/>
  <c r="G175" i="17" s="1"/>
  <c r="J175" i="17"/>
  <c r="I175" i="17" s="1"/>
  <c r="P174" i="17"/>
  <c r="K186" i="17" s="1"/>
  <c r="N173" i="17"/>
  <c r="M173" i="17"/>
  <c r="L173" i="17"/>
  <c r="J173" i="17"/>
  <c r="I173" i="17" s="1"/>
  <c r="N172" i="17"/>
  <c r="M172" i="17"/>
  <c r="L172" i="17"/>
  <c r="J172" i="17"/>
  <c r="I172" i="17" s="1"/>
  <c r="N171" i="17"/>
  <c r="M171" i="17"/>
  <c r="L171" i="17"/>
  <c r="J171" i="17"/>
  <c r="I171" i="17" s="1"/>
  <c r="N170" i="17"/>
  <c r="M170" i="17"/>
  <c r="L170" i="17"/>
  <c r="J170" i="17"/>
  <c r="H170" i="17" s="1"/>
  <c r="N169" i="17"/>
  <c r="M169" i="17"/>
  <c r="L169" i="17"/>
  <c r="J169" i="17"/>
  <c r="I169" i="17" s="1"/>
  <c r="N168" i="17"/>
  <c r="M168" i="17"/>
  <c r="L168" i="17"/>
  <c r="J168" i="17"/>
  <c r="I168" i="17" s="1"/>
  <c r="N167" i="17"/>
  <c r="M167" i="17"/>
  <c r="L167" i="17"/>
  <c r="J167" i="17"/>
  <c r="I167" i="17" s="1"/>
  <c r="N166" i="17"/>
  <c r="M166" i="17"/>
  <c r="L166" i="17"/>
  <c r="J166" i="17"/>
  <c r="I166" i="17" s="1"/>
  <c r="N165" i="17"/>
  <c r="M165" i="17"/>
  <c r="L165" i="17"/>
  <c r="J165" i="17"/>
  <c r="I165" i="17" s="1"/>
  <c r="N164" i="17"/>
  <c r="M164" i="17"/>
  <c r="L164" i="17"/>
  <c r="J164" i="17"/>
  <c r="I164" i="17" s="1"/>
  <c r="N163" i="17"/>
  <c r="M163" i="17"/>
  <c r="L163" i="17"/>
  <c r="J163" i="17"/>
  <c r="I163" i="17" s="1"/>
  <c r="N162" i="17"/>
  <c r="M162" i="17"/>
  <c r="L162" i="17"/>
  <c r="J162" i="17"/>
  <c r="I162" i="17" s="1"/>
  <c r="N161" i="17"/>
  <c r="M161" i="17"/>
  <c r="L161" i="17"/>
  <c r="J161" i="17"/>
  <c r="I161" i="17" s="1"/>
  <c r="P160" i="17"/>
  <c r="K173" i="17" s="1"/>
  <c r="N159" i="17"/>
  <c r="L159" i="17"/>
  <c r="J159" i="17"/>
  <c r="I159" i="17" s="1"/>
  <c r="N158" i="17"/>
  <c r="M158" i="17"/>
  <c r="L158" i="17"/>
  <c r="J158" i="17"/>
  <c r="H158" i="17" s="1"/>
  <c r="N157" i="17"/>
  <c r="L157" i="17"/>
  <c r="K157" i="17"/>
  <c r="J157" i="17"/>
  <c r="I157" i="17" s="1"/>
  <c r="N156" i="17"/>
  <c r="M156" i="17"/>
  <c r="L156" i="17"/>
  <c r="K156" i="17"/>
  <c r="J156" i="17"/>
  <c r="H156" i="17" s="1"/>
  <c r="N155" i="17"/>
  <c r="M155" i="17"/>
  <c r="L155" i="17"/>
  <c r="K155" i="17"/>
  <c r="J155" i="17"/>
  <c r="I155" i="17" s="1"/>
  <c r="N154" i="17"/>
  <c r="M154" i="17"/>
  <c r="L154" i="17"/>
  <c r="K154" i="17"/>
  <c r="J154" i="17"/>
  <c r="H154" i="17" s="1"/>
  <c r="N153" i="17"/>
  <c r="M153" i="17"/>
  <c r="L153" i="17"/>
  <c r="K153" i="17"/>
  <c r="J153" i="17"/>
  <c r="I153" i="17" s="1"/>
  <c r="N152" i="17"/>
  <c r="M152" i="17"/>
  <c r="L152" i="17"/>
  <c r="K152" i="17"/>
  <c r="J152" i="17"/>
  <c r="H152" i="17" s="1"/>
  <c r="N151" i="17"/>
  <c r="M151" i="17"/>
  <c r="L151" i="17"/>
  <c r="K151" i="17"/>
  <c r="J151" i="17"/>
  <c r="I151" i="17" s="1"/>
  <c r="N150" i="17"/>
  <c r="M150" i="17"/>
  <c r="L150" i="17"/>
  <c r="J150" i="17"/>
  <c r="H150" i="17" s="1"/>
  <c r="N149" i="17"/>
  <c r="M149" i="17"/>
  <c r="L149" i="17"/>
  <c r="J149" i="17"/>
  <c r="I149" i="17" s="1"/>
  <c r="N148" i="17"/>
  <c r="M148" i="17"/>
  <c r="L148" i="17"/>
  <c r="J148" i="17"/>
  <c r="H148" i="17" s="1"/>
  <c r="N147" i="17"/>
  <c r="M147" i="17"/>
  <c r="L147" i="17"/>
  <c r="J147" i="17"/>
  <c r="I147" i="17" s="1"/>
  <c r="P146" i="17"/>
  <c r="K159" i="17" s="1"/>
  <c r="N145" i="17"/>
  <c r="M145" i="17"/>
  <c r="L145" i="17"/>
  <c r="J145" i="17"/>
  <c r="H145" i="17" s="1"/>
  <c r="N144" i="17"/>
  <c r="L144" i="17"/>
  <c r="J144" i="17"/>
  <c r="I144" i="17" s="1"/>
  <c r="N143" i="17"/>
  <c r="M143" i="17"/>
  <c r="L143" i="17"/>
  <c r="J143" i="17"/>
  <c r="H143" i="17" s="1"/>
  <c r="N142" i="17"/>
  <c r="M142" i="17"/>
  <c r="L142" i="17"/>
  <c r="J142" i="17"/>
  <c r="I142" i="17" s="1"/>
  <c r="N141" i="17"/>
  <c r="M141" i="17"/>
  <c r="L141" i="17"/>
  <c r="J141" i="17"/>
  <c r="H141" i="17" s="1"/>
  <c r="N140" i="17"/>
  <c r="M140" i="17"/>
  <c r="L140" i="17"/>
  <c r="J140" i="17"/>
  <c r="I140" i="17" s="1"/>
  <c r="N139" i="17"/>
  <c r="M139" i="17"/>
  <c r="L139" i="17"/>
  <c r="J139" i="17"/>
  <c r="H139" i="17" s="1"/>
  <c r="N138" i="17"/>
  <c r="M138" i="17"/>
  <c r="L138" i="17"/>
  <c r="J138" i="17"/>
  <c r="I138" i="17" s="1"/>
  <c r="N137" i="17"/>
  <c r="M137" i="17"/>
  <c r="L137" i="17"/>
  <c r="J137" i="17"/>
  <c r="H137" i="17" s="1"/>
  <c r="N136" i="17"/>
  <c r="M136" i="17"/>
  <c r="L136" i="17"/>
  <c r="J136" i="17"/>
  <c r="I136" i="17" s="1"/>
  <c r="N135" i="17"/>
  <c r="M135" i="17"/>
  <c r="L135" i="17"/>
  <c r="J135" i="17"/>
  <c r="H135" i="17" s="1"/>
  <c r="N134" i="17"/>
  <c r="M134" i="17"/>
  <c r="L134" i="17"/>
  <c r="J134" i="17"/>
  <c r="I134" i="17" s="1"/>
  <c r="N133" i="17"/>
  <c r="M133" i="17"/>
  <c r="L133" i="17"/>
  <c r="J133" i="17"/>
  <c r="H133" i="17" s="1"/>
  <c r="P132" i="17"/>
  <c r="K145" i="17" s="1"/>
  <c r="N131" i="17"/>
  <c r="M131" i="17"/>
  <c r="L131" i="17"/>
  <c r="K131" i="17"/>
  <c r="J131" i="17"/>
  <c r="I131" i="17" s="1"/>
  <c r="N130" i="17"/>
  <c r="M130" i="17"/>
  <c r="L130" i="17"/>
  <c r="K130" i="17"/>
  <c r="J130" i="17"/>
  <c r="I130" i="17" s="1"/>
  <c r="N129" i="17"/>
  <c r="M129" i="17"/>
  <c r="L129" i="17"/>
  <c r="K129" i="17"/>
  <c r="J129" i="17"/>
  <c r="I129" i="17" s="1"/>
  <c r="N128" i="17"/>
  <c r="M128" i="17"/>
  <c r="L128" i="17"/>
  <c r="K128" i="17"/>
  <c r="J128" i="17"/>
  <c r="I128" i="17" s="1"/>
  <c r="N127" i="17"/>
  <c r="M127" i="17"/>
  <c r="L127" i="17"/>
  <c r="K127" i="17"/>
  <c r="J127" i="17"/>
  <c r="I127" i="17" s="1"/>
  <c r="N126" i="17"/>
  <c r="M126" i="17"/>
  <c r="L126" i="17"/>
  <c r="K126" i="17"/>
  <c r="J126" i="17"/>
  <c r="I126" i="17" s="1"/>
  <c r="N125" i="17"/>
  <c r="M125" i="17"/>
  <c r="L125" i="17"/>
  <c r="K125" i="17"/>
  <c r="J125" i="17"/>
  <c r="I125" i="17" s="1"/>
  <c r="N124" i="17"/>
  <c r="M124" i="17"/>
  <c r="L124" i="17"/>
  <c r="K124" i="17"/>
  <c r="J124" i="17"/>
  <c r="I124" i="17" s="1"/>
  <c r="N123" i="17"/>
  <c r="M123" i="17"/>
  <c r="L123" i="17"/>
  <c r="K123" i="17"/>
  <c r="J123" i="17"/>
  <c r="I123" i="17" s="1"/>
  <c r="N122" i="17"/>
  <c r="M122" i="17"/>
  <c r="L122" i="17"/>
  <c r="K122" i="17"/>
  <c r="J122" i="17"/>
  <c r="I122" i="17" s="1"/>
  <c r="N121" i="17"/>
  <c r="M121" i="17"/>
  <c r="L121" i="17"/>
  <c r="K121" i="17"/>
  <c r="J121" i="17"/>
  <c r="I121" i="17" s="1"/>
  <c r="N120" i="17"/>
  <c r="M120" i="17"/>
  <c r="L120" i="17"/>
  <c r="J120" i="17"/>
  <c r="I120" i="17" s="1"/>
  <c r="N119" i="17"/>
  <c r="M119" i="17"/>
  <c r="L119" i="17"/>
  <c r="J119" i="17"/>
  <c r="I119" i="17" s="1"/>
  <c r="P118" i="17"/>
  <c r="K120" i="17" s="1"/>
  <c r="N117" i="17"/>
  <c r="M117" i="17"/>
  <c r="L117" i="17"/>
  <c r="K117" i="17"/>
  <c r="J117" i="17"/>
  <c r="H117" i="17" s="1"/>
  <c r="N116" i="17"/>
  <c r="M116" i="17"/>
  <c r="L116" i="17"/>
  <c r="K116" i="17"/>
  <c r="J116" i="17"/>
  <c r="I116" i="17" s="1"/>
  <c r="N115" i="17"/>
  <c r="M115" i="17"/>
  <c r="L115" i="17"/>
  <c r="K115" i="17"/>
  <c r="J115" i="17"/>
  <c r="H115" i="17" s="1"/>
  <c r="N114" i="17"/>
  <c r="M114" i="17"/>
  <c r="L114" i="17"/>
  <c r="K114" i="17"/>
  <c r="J114" i="17"/>
  <c r="I114" i="17" s="1"/>
  <c r="N113" i="17"/>
  <c r="M113" i="17"/>
  <c r="L113" i="17"/>
  <c r="K113" i="17"/>
  <c r="J113" i="17"/>
  <c r="I113" i="17" s="1"/>
  <c r="N112" i="17"/>
  <c r="M112" i="17"/>
  <c r="L112" i="17"/>
  <c r="K112" i="17"/>
  <c r="J112" i="17"/>
  <c r="I112" i="17" s="1"/>
  <c r="N111" i="17"/>
  <c r="M111" i="17"/>
  <c r="L111" i="17"/>
  <c r="K111" i="17"/>
  <c r="J111" i="17"/>
  <c r="I111" i="17" s="1"/>
  <c r="N110" i="17"/>
  <c r="M110" i="17"/>
  <c r="L110" i="17"/>
  <c r="K110" i="17"/>
  <c r="J110" i="17"/>
  <c r="I110" i="17" s="1"/>
  <c r="N109" i="17"/>
  <c r="M109" i="17"/>
  <c r="L109" i="17"/>
  <c r="K109" i="17"/>
  <c r="J109" i="17"/>
  <c r="I109" i="17" s="1"/>
  <c r="N108" i="17"/>
  <c r="M108" i="17"/>
  <c r="L108" i="17"/>
  <c r="K108" i="17"/>
  <c r="J108" i="17"/>
  <c r="N107" i="17"/>
  <c r="M107" i="17"/>
  <c r="L107" i="17"/>
  <c r="K107" i="17"/>
  <c r="J107" i="17"/>
  <c r="I107" i="17" s="1"/>
  <c r="N106" i="17"/>
  <c r="M106" i="17"/>
  <c r="L106" i="17"/>
  <c r="K106" i="17"/>
  <c r="J106" i="17"/>
  <c r="H106" i="17" s="1"/>
  <c r="N105" i="17"/>
  <c r="M105" i="17"/>
  <c r="L105" i="17"/>
  <c r="J105" i="17"/>
  <c r="I105" i="17" s="1"/>
  <c r="P104" i="17"/>
  <c r="K105" i="17" s="1"/>
  <c r="N103" i="17"/>
  <c r="M103" i="17"/>
  <c r="L103" i="17"/>
  <c r="J103" i="17"/>
  <c r="H103" i="17" s="1"/>
  <c r="N102" i="17"/>
  <c r="M102" i="17"/>
  <c r="L102" i="17"/>
  <c r="J102" i="17"/>
  <c r="I102" i="17" s="1"/>
  <c r="N101" i="17"/>
  <c r="M101" i="17"/>
  <c r="L101" i="17"/>
  <c r="J101" i="17"/>
  <c r="H101" i="17" s="1"/>
  <c r="N100" i="17"/>
  <c r="M100" i="17"/>
  <c r="L100" i="17"/>
  <c r="J100" i="17"/>
  <c r="H100" i="17" s="1"/>
  <c r="N99" i="17"/>
  <c r="M99" i="17"/>
  <c r="L99" i="17"/>
  <c r="J99" i="17"/>
  <c r="N98" i="17"/>
  <c r="M98" i="17"/>
  <c r="L98" i="17"/>
  <c r="J98" i="17"/>
  <c r="I98" i="17" s="1"/>
  <c r="N97" i="17"/>
  <c r="M97" i="17"/>
  <c r="L97" i="17"/>
  <c r="J97" i="17"/>
  <c r="H97" i="17" s="1"/>
  <c r="N96" i="17"/>
  <c r="M96" i="17"/>
  <c r="L96" i="17"/>
  <c r="J96" i="17"/>
  <c r="H96" i="17" s="1"/>
  <c r="I96" i="17"/>
  <c r="N95" i="17"/>
  <c r="M95" i="17"/>
  <c r="L95" i="17"/>
  <c r="J95" i="17"/>
  <c r="H95" i="17" s="1"/>
  <c r="N94" i="17"/>
  <c r="M94" i="17"/>
  <c r="L94" i="17"/>
  <c r="J94" i="17"/>
  <c r="I94" i="17" s="1"/>
  <c r="N93" i="17"/>
  <c r="M93" i="17"/>
  <c r="L93" i="17"/>
  <c r="J93" i="17"/>
  <c r="I93" i="17" s="1"/>
  <c r="N92" i="17"/>
  <c r="M92" i="17"/>
  <c r="L92" i="17"/>
  <c r="J92" i="17"/>
  <c r="H92" i="17" s="1"/>
  <c r="N91" i="17"/>
  <c r="M91" i="17"/>
  <c r="L91" i="17"/>
  <c r="J91" i="17"/>
  <c r="I91" i="17" s="1"/>
  <c r="P90" i="17"/>
  <c r="K95" i="17" s="1"/>
  <c r="N89" i="17"/>
  <c r="M89" i="17"/>
  <c r="L89" i="17"/>
  <c r="J89" i="17"/>
  <c r="I89" i="17" s="1"/>
  <c r="N88" i="17"/>
  <c r="M88" i="17"/>
  <c r="L88" i="17"/>
  <c r="J88" i="17"/>
  <c r="I88" i="17" s="1"/>
  <c r="N87" i="17"/>
  <c r="M87" i="17"/>
  <c r="L87" i="17"/>
  <c r="J87" i="17"/>
  <c r="I87" i="17" s="1"/>
  <c r="N86" i="17"/>
  <c r="M86" i="17"/>
  <c r="L86" i="17"/>
  <c r="J86" i="17"/>
  <c r="I86" i="17" s="1"/>
  <c r="N85" i="17"/>
  <c r="M85" i="17"/>
  <c r="L85" i="17"/>
  <c r="J85" i="17"/>
  <c r="I85" i="17" s="1"/>
  <c r="N84" i="17"/>
  <c r="M84" i="17"/>
  <c r="L84" i="17"/>
  <c r="J84" i="17"/>
  <c r="I84" i="17" s="1"/>
  <c r="N83" i="17"/>
  <c r="M83" i="17"/>
  <c r="L83" i="17"/>
  <c r="J83" i="17"/>
  <c r="I83" i="17" s="1"/>
  <c r="N82" i="17"/>
  <c r="M82" i="17"/>
  <c r="L82" i="17"/>
  <c r="J82" i="17"/>
  <c r="I82" i="17" s="1"/>
  <c r="N81" i="17"/>
  <c r="M81" i="17"/>
  <c r="L81" i="17"/>
  <c r="J81" i="17"/>
  <c r="H81" i="17" s="1"/>
  <c r="N80" i="17"/>
  <c r="M80" i="17"/>
  <c r="L80" i="17"/>
  <c r="J80" i="17"/>
  <c r="I80" i="17" s="1"/>
  <c r="N79" i="17"/>
  <c r="M79" i="17"/>
  <c r="L79" i="17"/>
  <c r="J79" i="17"/>
  <c r="H79" i="17" s="1"/>
  <c r="N78" i="17"/>
  <c r="M78" i="17"/>
  <c r="L78" i="17"/>
  <c r="J78" i="17"/>
  <c r="I78" i="17" s="1"/>
  <c r="N77" i="17"/>
  <c r="M77" i="17"/>
  <c r="L77" i="17"/>
  <c r="J77" i="17"/>
  <c r="H77" i="17" s="1"/>
  <c r="P76" i="17"/>
  <c r="K87" i="17" s="1"/>
  <c r="N75" i="17"/>
  <c r="M75" i="17"/>
  <c r="L75" i="17"/>
  <c r="J75" i="17"/>
  <c r="I75" i="17" s="1"/>
  <c r="N74" i="17"/>
  <c r="M74" i="17"/>
  <c r="L74" i="17"/>
  <c r="J74" i="17"/>
  <c r="N73" i="17"/>
  <c r="M73" i="17"/>
  <c r="L73" i="17"/>
  <c r="J73" i="17"/>
  <c r="I73" i="17" s="1"/>
  <c r="N72" i="17"/>
  <c r="M72" i="17"/>
  <c r="L72" i="17"/>
  <c r="J72" i="17"/>
  <c r="N71" i="17"/>
  <c r="M71" i="17"/>
  <c r="L71" i="17"/>
  <c r="J71" i="17"/>
  <c r="I71" i="17" s="1"/>
  <c r="N70" i="17"/>
  <c r="M70" i="17"/>
  <c r="L70" i="17"/>
  <c r="J70" i="17"/>
  <c r="N69" i="17"/>
  <c r="M69" i="17"/>
  <c r="L69" i="17"/>
  <c r="J69" i="17"/>
  <c r="I69" i="17" s="1"/>
  <c r="N68" i="17"/>
  <c r="M68" i="17"/>
  <c r="L68" i="17"/>
  <c r="J68" i="17"/>
  <c r="N67" i="17"/>
  <c r="M67" i="17"/>
  <c r="L67" i="17"/>
  <c r="J67" i="17"/>
  <c r="I67" i="17" s="1"/>
  <c r="N66" i="17"/>
  <c r="M66" i="17"/>
  <c r="L66" i="17"/>
  <c r="J66" i="17"/>
  <c r="N65" i="17"/>
  <c r="M65" i="17"/>
  <c r="L65" i="17"/>
  <c r="J65" i="17"/>
  <c r="I65" i="17" s="1"/>
  <c r="N64" i="17"/>
  <c r="M64" i="17"/>
  <c r="L64" i="17"/>
  <c r="J64" i="17"/>
  <c r="N63" i="17"/>
  <c r="M63" i="17"/>
  <c r="L63" i="17"/>
  <c r="J63" i="17"/>
  <c r="I63" i="17" s="1"/>
  <c r="P62" i="17"/>
  <c r="K75" i="17" s="1"/>
  <c r="N61" i="17"/>
  <c r="M61" i="17"/>
  <c r="L61" i="17"/>
  <c r="J61" i="17"/>
  <c r="I61" i="17" s="1"/>
  <c r="N60" i="17"/>
  <c r="M60" i="17"/>
  <c r="L60" i="17"/>
  <c r="J60" i="17"/>
  <c r="I60" i="17" s="1"/>
  <c r="N59" i="17"/>
  <c r="M59" i="17"/>
  <c r="L59" i="17"/>
  <c r="J59" i="17"/>
  <c r="I59" i="17" s="1"/>
  <c r="N58" i="17"/>
  <c r="M58" i="17"/>
  <c r="L58" i="17"/>
  <c r="J58" i="17"/>
  <c r="I58" i="17" s="1"/>
  <c r="N57" i="17"/>
  <c r="M57" i="17"/>
  <c r="L57" i="17"/>
  <c r="J57" i="17"/>
  <c r="I57" i="17" s="1"/>
  <c r="N56" i="17"/>
  <c r="M56" i="17"/>
  <c r="L56" i="17"/>
  <c r="J56" i="17"/>
  <c r="I56" i="17" s="1"/>
  <c r="N55" i="17"/>
  <c r="M55" i="17"/>
  <c r="L55" i="17"/>
  <c r="J55" i="17"/>
  <c r="I55" i="17" s="1"/>
  <c r="N54" i="17"/>
  <c r="M54" i="17"/>
  <c r="L54" i="17"/>
  <c r="J54" i="17"/>
  <c r="I54" i="17" s="1"/>
  <c r="N53" i="17"/>
  <c r="M53" i="17"/>
  <c r="L53" i="17"/>
  <c r="J53" i="17"/>
  <c r="I53" i="17" s="1"/>
  <c r="N52" i="17"/>
  <c r="M52" i="17"/>
  <c r="L52" i="17"/>
  <c r="J52" i="17"/>
  <c r="I52" i="17" s="1"/>
  <c r="N51" i="17"/>
  <c r="M51" i="17"/>
  <c r="L51" i="17"/>
  <c r="J51" i="17"/>
  <c r="I51" i="17" s="1"/>
  <c r="N50" i="17"/>
  <c r="M50" i="17"/>
  <c r="L50" i="17"/>
  <c r="J50" i="17"/>
  <c r="N49" i="17"/>
  <c r="M49" i="17"/>
  <c r="L49" i="17"/>
  <c r="J49" i="17"/>
  <c r="P48" i="17"/>
  <c r="K55" i="17" s="1"/>
  <c r="N47" i="17"/>
  <c r="M47" i="17"/>
  <c r="L47" i="17"/>
  <c r="J47" i="17"/>
  <c r="H47" i="17" s="1"/>
  <c r="N46" i="17"/>
  <c r="M46" i="17"/>
  <c r="L46" i="17"/>
  <c r="J46" i="17"/>
  <c r="I46" i="17" s="1"/>
  <c r="N45" i="17"/>
  <c r="M45" i="17"/>
  <c r="L45" i="17"/>
  <c r="J45" i="17"/>
  <c r="H45" i="17" s="1"/>
  <c r="N44" i="17"/>
  <c r="M44" i="17"/>
  <c r="L44" i="17"/>
  <c r="J44" i="17"/>
  <c r="I44" i="17" s="1"/>
  <c r="N43" i="17"/>
  <c r="M43" i="17"/>
  <c r="L43" i="17"/>
  <c r="J43" i="17"/>
  <c r="H43" i="17" s="1"/>
  <c r="N42" i="17"/>
  <c r="M42" i="17"/>
  <c r="L42" i="17"/>
  <c r="J42" i="17"/>
  <c r="I42" i="17" s="1"/>
  <c r="N41" i="17"/>
  <c r="M41" i="17"/>
  <c r="L41" i="17"/>
  <c r="J41" i="17"/>
  <c r="H41" i="17" s="1"/>
  <c r="N40" i="17"/>
  <c r="M40" i="17"/>
  <c r="L40" i="17"/>
  <c r="J40" i="17"/>
  <c r="H40" i="17" s="1"/>
  <c r="N39" i="17"/>
  <c r="M39" i="17"/>
  <c r="L39" i="17"/>
  <c r="J39" i="17"/>
  <c r="H39" i="17" s="1"/>
  <c r="N38" i="17"/>
  <c r="M38" i="17"/>
  <c r="L38" i="17"/>
  <c r="J38" i="17"/>
  <c r="H38" i="17" s="1"/>
  <c r="N37" i="17"/>
  <c r="M37" i="17"/>
  <c r="L37" i="17"/>
  <c r="J37" i="17"/>
  <c r="H37" i="17" s="1"/>
  <c r="N36" i="17"/>
  <c r="M36" i="17"/>
  <c r="L36" i="17"/>
  <c r="J36" i="17"/>
  <c r="H36" i="17" s="1"/>
  <c r="N35" i="17"/>
  <c r="M35" i="17"/>
  <c r="L35" i="17"/>
  <c r="K35" i="17"/>
  <c r="J35" i="17"/>
  <c r="I35" i="17" s="1"/>
  <c r="P34" i="17"/>
  <c r="K41" i="17" s="1"/>
  <c r="N33" i="17"/>
  <c r="M33" i="17"/>
  <c r="L33" i="17"/>
  <c r="J33" i="17"/>
  <c r="I33" i="17" s="1"/>
  <c r="N32" i="17"/>
  <c r="M32" i="17"/>
  <c r="L32" i="17"/>
  <c r="J32" i="17"/>
  <c r="I32" i="17" s="1"/>
  <c r="N31" i="17"/>
  <c r="M31" i="17"/>
  <c r="L31" i="17"/>
  <c r="J31" i="17"/>
  <c r="I31" i="17" s="1"/>
  <c r="N30" i="17"/>
  <c r="M30" i="17"/>
  <c r="L30" i="17"/>
  <c r="K30" i="17"/>
  <c r="J30" i="17"/>
  <c r="I30" i="17" s="1"/>
  <c r="N29" i="17"/>
  <c r="M29" i="17"/>
  <c r="L29" i="17"/>
  <c r="K29" i="17"/>
  <c r="J29" i="17"/>
  <c r="I29" i="17" s="1"/>
  <c r="N28" i="17"/>
  <c r="M28" i="17"/>
  <c r="L28" i="17"/>
  <c r="J28" i="17"/>
  <c r="H28" i="17" s="1"/>
  <c r="N27" i="17"/>
  <c r="M27" i="17"/>
  <c r="L27" i="17"/>
  <c r="J27" i="17"/>
  <c r="I27" i="17" s="1"/>
  <c r="N26" i="17"/>
  <c r="M26" i="17"/>
  <c r="L26" i="17"/>
  <c r="J26" i="17"/>
  <c r="H26" i="17" s="1"/>
  <c r="N25" i="17"/>
  <c r="M25" i="17"/>
  <c r="L25" i="17"/>
  <c r="J25" i="17"/>
  <c r="I25" i="17" s="1"/>
  <c r="N24" i="17"/>
  <c r="M24" i="17"/>
  <c r="L24" i="17"/>
  <c r="J24" i="17"/>
  <c r="I24" i="17" s="1"/>
  <c r="N23" i="17"/>
  <c r="M23" i="17"/>
  <c r="L23" i="17"/>
  <c r="J23" i="17"/>
  <c r="I23" i="17" s="1"/>
  <c r="N22" i="17"/>
  <c r="M22" i="17"/>
  <c r="L22" i="17"/>
  <c r="J22" i="17"/>
  <c r="H22" i="17" s="1"/>
  <c r="N21" i="17"/>
  <c r="M21" i="17"/>
  <c r="L21" i="17"/>
  <c r="J21" i="17"/>
  <c r="H21" i="17" s="1"/>
  <c r="P20" i="17"/>
  <c r="K22" i="17" s="1"/>
  <c r="N19" i="17"/>
  <c r="L19" i="17"/>
  <c r="J19" i="17"/>
  <c r="I19" i="17" s="1"/>
  <c r="N18" i="17"/>
  <c r="L18" i="17"/>
  <c r="J18" i="17"/>
  <c r="I18" i="17" s="1"/>
  <c r="N17" i="17"/>
  <c r="L17" i="17"/>
  <c r="J17" i="17"/>
  <c r="H17" i="17" s="1"/>
  <c r="N16" i="17"/>
  <c r="L16" i="17"/>
  <c r="J16" i="17"/>
  <c r="I16" i="17" s="1"/>
  <c r="N15" i="17"/>
  <c r="L15" i="17"/>
  <c r="J15" i="17"/>
  <c r="I15" i="17" s="1"/>
  <c r="N14" i="17"/>
  <c r="L14" i="17"/>
  <c r="J14" i="17"/>
  <c r="I14" i="17" s="1"/>
  <c r="N13" i="17"/>
  <c r="L13" i="17"/>
  <c r="J13" i="17"/>
  <c r="I13" i="17" s="1"/>
  <c r="N12" i="17"/>
  <c r="L12" i="17"/>
  <c r="J12" i="17"/>
  <c r="I12" i="17" s="1"/>
  <c r="N11" i="17"/>
  <c r="L11" i="17"/>
  <c r="J11" i="17"/>
  <c r="I11" i="17" s="1"/>
  <c r="N10" i="17"/>
  <c r="L10" i="17"/>
  <c r="J10" i="17"/>
  <c r="I10" i="17" s="1"/>
  <c r="N9" i="17"/>
  <c r="L9" i="17"/>
  <c r="J9" i="17"/>
  <c r="I9" i="17" s="1"/>
  <c r="N8" i="17"/>
  <c r="L8" i="17"/>
  <c r="J8" i="17"/>
  <c r="I8" i="17" s="1"/>
  <c r="N7" i="17"/>
  <c r="L7" i="17"/>
  <c r="J7" i="17"/>
  <c r="I7" i="17" s="1"/>
  <c r="G288" i="5" l="1"/>
  <c r="G285" i="5"/>
  <c r="G291" i="5"/>
  <c r="H285" i="5"/>
  <c r="G286" i="5"/>
  <c r="G290" i="5"/>
  <c r="H289" i="5"/>
  <c r="H290" i="5"/>
  <c r="I290" i="5"/>
  <c r="H291" i="5"/>
  <c r="G282" i="5"/>
  <c r="G284" i="5"/>
  <c r="H281" i="5"/>
  <c r="G279" i="5"/>
  <c r="G281" i="5"/>
  <c r="G283" i="5"/>
  <c r="G287" i="5"/>
  <c r="G280" i="5"/>
  <c r="H279" i="5"/>
  <c r="H287" i="5"/>
  <c r="H283" i="5"/>
  <c r="G289" i="5"/>
  <c r="H280" i="5"/>
  <c r="H282" i="5"/>
  <c r="H284" i="5"/>
  <c r="H286" i="5"/>
  <c r="H288" i="5"/>
  <c r="M144" i="17"/>
  <c r="M157" i="17"/>
  <c r="G157" i="17" s="1"/>
  <c r="H44" i="17"/>
  <c r="K49" i="17"/>
  <c r="G49" i="17" s="1"/>
  <c r="H33" i="17"/>
  <c r="I170" i="17"/>
  <c r="H16" i="17"/>
  <c r="H80" i="17"/>
  <c r="H12" i="17"/>
  <c r="H84" i="17"/>
  <c r="H120" i="17"/>
  <c r="I176" i="17"/>
  <c r="I79" i="17"/>
  <c r="H164" i="17"/>
  <c r="H8" i="17"/>
  <c r="I22" i="17"/>
  <c r="I103" i="17"/>
  <c r="I106" i="17"/>
  <c r="G130" i="17"/>
  <c r="G109" i="17"/>
  <c r="G126" i="17"/>
  <c r="F126" i="17" s="1"/>
  <c r="E126" i="17" s="1"/>
  <c r="D126" i="17" s="1"/>
  <c r="Q126" i="17" s="1"/>
  <c r="G128" i="17"/>
  <c r="H24" i="17"/>
  <c r="I81" i="17"/>
  <c r="K92" i="17"/>
  <c r="H94" i="17"/>
  <c r="I26" i="17"/>
  <c r="H46" i="17"/>
  <c r="H78" i="17"/>
  <c r="H83" i="17"/>
  <c r="H113" i="17"/>
  <c r="G151" i="17"/>
  <c r="H168" i="17"/>
  <c r="I21" i="17"/>
  <c r="I28" i="17"/>
  <c r="H31" i="17"/>
  <c r="H85" i="17"/>
  <c r="H112" i="17"/>
  <c r="H172" i="17"/>
  <c r="H10" i="17"/>
  <c r="I17" i="17"/>
  <c r="H30" i="17"/>
  <c r="H65" i="17"/>
  <c r="I77" i="17"/>
  <c r="H111" i="17"/>
  <c r="G113" i="17"/>
  <c r="I115" i="17"/>
  <c r="K134" i="17"/>
  <c r="H69" i="17"/>
  <c r="G125" i="17"/>
  <c r="K136" i="17"/>
  <c r="G153" i="17"/>
  <c r="G155" i="17"/>
  <c r="I180" i="17"/>
  <c r="H14" i="17"/>
  <c r="H73" i="17"/>
  <c r="K140" i="17"/>
  <c r="I101" i="17"/>
  <c r="I117" i="17"/>
  <c r="K144" i="17"/>
  <c r="F180" i="17"/>
  <c r="H23" i="17"/>
  <c r="H42" i="17"/>
  <c r="H63" i="17"/>
  <c r="H71" i="17"/>
  <c r="H89" i="17"/>
  <c r="H91" i="17"/>
  <c r="H107" i="17"/>
  <c r="H166" i="17"/>
  <c r="H32" i="17"/>
  <c r="I36" i="17"/>
  <c r="K37" i="17"/>
  <c r="K59" i="17"/>
  <c r="H82" i="17"/>
  <c r="H102" i="17"/>
  <c r="I152" i="17"/>
  <c r="I156" i="17"/>
  <c r="H175" i="17"/>
  <c r="F175" i="17" s="1"/>
  <c r="E175" i="17" s="1"/>
  <c r="D175" i="17" s="1"/>
  <c r="Q175" i="17" s="1"/>
  <c r="I184" i="17"/>
  <c r="K79" i="17"/>
  <c r="G79" i="17" s="1"/>
  <c r="F79" i="17" s="1"/>
  <c r="E79" i="17" s="1"/>
  <c r="D79" i="17" s="1"/>
  <c r="Q79" i="17" s="1"/>
  <c r="K36" i="17"/>
  <c r="K51" i="17"/>
  <c r="G51" i="17" s="1"/>
  <c r="K61" i="17"/>
  <c r="G61" i="17" s="1"/>
  <c r="H88" i="17"/>
  <c r="K89" i="17"/>
  <c r="H110" i="17"/>
  <c r="H124" i="17"/>
  <c r="H128" i="17"/>
  <c r="F128" i="17" s="1"/>
  <c r="E128" i="17" s="1"/>
  <c r="D128" i="17" s="1"/>
  <c r="Q128" i="17" s="1"/>
  <c r="K138" i="17"/>
  <c r="I148" i="17"/>
  <c r="F184" i="17"/>
  <c r="H19" i="17"/>
  <c r="H25" i="17"/>
  <c r="H67" i="17"/>
  <c r="H75" i="17"/>
  <c r="H87" i="17"/>
  <c r="H93" i="17"/>
  <c r="H105" i="17"/>
  <c r="H109" i="17"/>
  <c r="H162" i="17"/>
  <c r="G35" i="17"/>
  <c r="I38" i="17"/>
  <c r="H114" i="17"/>
  <c r="K142" i="17"/>
  <c r="G142" i="17" s="1"/>
  <c r="K148" i="17"/>
  <c r="I150" i="17"/>
  <c r="I154" i="17"/>
  <c r="I158" i="17"/>
  <c r="H183" i="17"/>
  <c r="F183" i="17" s="1"/>
  <c r="E183" i="17" s="1"/>
  <c r="D183" i="17" s="1"/>
  <c r="Q183" i="17" s="1"/>
  <c r="K77" i="17"/>
  <c r="G77" i="17" s="1"/>
  <c r="F77" i="17" s="1"/>
  <c r="H18" i="17"/>
  <c r="I40" i="17"/>
  <c r="H86" i="17"/>
  <c r="H122" i="17"/>
  <c r="G123" i="17"/>
  <c r="H126" i="17"/>
  <c r="H130" i="17"/>
  <c r="K150" i="17"/>
  <c r="G150" i="17" s="1"/>
  <c r="F150" i="17" s="1"/>
  <c r="E150" i="17" s="1"/>
  <c r="D150" i="17" s="1"/>
  <c r="Q150" i="17" s="1"/>
  <c r="K158" i="17"/>
  <c r="F176" i="17"/>
  <c r="E176" i="17" s="1"/>
  <c r="D176" i="17" s="1"/>
  <c r="Q176" i="17" s="1"/>
  <c r="H179" i="17"/>
  <c r="F179" i="17" s="1"/>
  <c r="E179" i="17" s="1"/>
  <c r="D179" i="17" s="1"/>
  <c r="Q179" i="17" s="1"/>
  <c r="G173" i="17"/>
  <c r="G36" i="17"/>
  <c r="F36" i="17" s="1"/>
  <c r="G105" i="17"/>
  <c r="G114" i="17"/>
  <c r="G152" i="17"/>
  <c r="F152" i="17" s="1"/>
  <c r="G156" i="17"/>
  <c r="F156" i="17" s="1"/>
  <c r="G29" i="17"/>
  <c r="G131" i="17"/>
  <c r="G124" i="17"/>
  <c r="G154" i="17"/>
  <c r="F154" i="17" s="1"/>
  <c r="E154" i="17" s="1"/>
  <c r="D154" i="17" s="1"/>
  <c r="Q154" i="17" s="1"/>
  <c r="G158" i="17"/>
  <c r="F158" i="17" s="1"/>
  <c r="E158" i="17" s="1"/>
  <c r="D158" i="17" s="1"/>
  <c r="Q158" i="17" s="1"/>
  <c r="G55" i="17"/>
  <c r="G110" i="17"/>
  <c r="G41" i="17"/>
  <c r="F41" i="17" s="1"/>
  <c r="G27" i="17"/>
  <c r="G18" i="17"/>
  <c r="H7" i="17"/>
  <c r="H9" i="17"/>
  <c r="H11" i="17"/>
  <c r="H13" i="17"/>
  <c r="H15" i="17"/>
  <c r="K33" i="17"/>
  <c r="G33" i="17" s="1"/>
  <c r="K31" i="17"/>
  <c r="K27" i="17"/>
  <c r="K25" i="17"/>
  <c r="G25" i="17" s="1"/>
  <c r="K23" i="17"/>
  <c r="K21" i="17"/>
  <c r="G21" i="17" s="1"/>
  <c r="F21" i="17" s="1"/>
  <c r="K24" i="17"/>
  <c r="G24" i="17" s="1"/>
  <c r="K28" i="17"/>
  <c r="G28" i="17" s="1"/>
  <c r="F28" i="17" s="1"/>
  <c r="H29" i="17"/>
  <c r="G37" i="17"/>
  <c r="F37" i="17" s="1"/>
  <c r="K46" i="17"/>
  <c r="G46" i="17" s="1"/>
  <c r="K47" i="17"/>
  <c r="I49" i="17"/>
  <c r="H49" i="17"/>
  <c r="H50" i="17"/>
  <c r="H99" i="17"/>
  <c r="I99" i="17"/>
  <c r="I37" i="17"/>
  <c r="K42" i="17"/>
  <c r="G42" i="17" s="1"/>
  <c r="K43" i="17"/>
  <c r="H66" i="17"/>
  <c r="I66" i="17"/>
  <c r="H70" i="17"/>
  <c r="I70" i="17"/>
  <c r="H74" i="17"/>
  <c r="I74" i="17"/>
  <c r="G121" i="17"/>
  <c r="G122" i="17"/>
  <c r="G19" i="17"/>
  <c r="I39" i="17"/>
  <c r="I45" i="17"/>
  <c r="G22" i="17"/>
  <c r="F22" i="17" s="1"/>
  <c r="K26" i="17"/>
  <c r="G26" i="17" s="1"/>
  <c r="F26" i="17" s="1"/>
  <c r="H27" i="17"/>
  <c r="K38" i="17"/>
  <c r="K39" i="17"/>
  <c r="K44" i="17"/>
  <c r="K45" i="17"/>
  <c r="K60" i="17"/>
  <c r="K58" i="17"/>
  <c r="K56" i="17"/>
  <c r="K54" i="17"/>
  <c r="K52" i="17"/>
  <c r="K50" i="17"/>
  <c r="K53" i="17"/>
  <c r="G53" i="17" s="1"/>
  <c r="K88" i="17"/>
  <c r="G88" i="17" s="1"/>
  <c r="K86" i="17"/>
  <c r="K84" i="17"/>
  <c r="K82" i="17"/>
  <c r="K80" i="17"/>
  <c r="G80" i="17" s="1"/>
  <c r="K78" i="17"/>
  <c r="G78" i="17" s="1"/>
  <c r="F78" i="17" s="1"/>
  <c r="E78" i="17" s="1"/>
  <c r="D78" i="17" s="1"/>
  <c r="K85" i="17"/>
  <c r="G89" i="17"/>
  <c r="G115" i="17"/>
  <c r="F115" i="17" s="1"/>
  <c r="H108" i="17"/>
  <c r="I108" i="17"/>
  <c r="G11" i="17"/>
  <c r="G30" i="17"/>
  <c r="I41" i="17"/>
  <c r="E41" i="17" s="1"/>
  <c r="D41" i="17" s="1"/>
  <c r="Q41" i="17" s="1"/>
  <c r="H52" i="17"/>
  <c r="G59" i="17"/>
  <c r="H64" i="17"/>
  <c r="I64" i="17"/>
  <c r="H68" i="17"/>
  <c r="I68" i="17"/>
  <c r="H72" i="17"/>
  <c r="I72" i="17"/>
  <c r="K83" i="17"/>
  <c r="G83" i="17" s="1"/>
  <c r="G87" i="17"/>
  <c r="G107" i="17"/>
  <c r="I43" i="17"/>
  <c r="G159" i="17"/>
  <c r="G17" i="17"/>
  <c r="F17" i="17" s="1"/>
  <c r="G8" i="17"/>
  <c r="G10" i="17"/>
  <c r="G16" i="17"/>
  <c r="K32" i="17"/>
  <c r="H35" i="17"/>
  <c r="F35" i="17" s="1"/>
  <c r="E35" i="17" s="1"/>
  <c r="D35" i="17" s="1"/>
  <c r="Q35" i="17" s="1"/>
  <c r="K40" i="17"/>
  <c r="I47" i="17"/>
  <c r="I50" i="17"/>
  <c r="K57" i="17"/>
  <c r="K81" i="17"/>
  <c r="G81" i="17" s="1"/>
  <c r="F81" i="17" s="1"/>
  <c r="G85" i="17"/>
  <c r="F85" i="17" s="1"/>
  <c r="E85" i="17" s="1"/>
  <c r="D85" i="17" s="1"/>
  <c r="Q85" i="17" s="1"/>
  <c r="G120" i="17"/>
  <c r="K102" i="17"/>
  <c r="G102" i="17" s="1"/>
  <c r="K100" i="17"/>
  <c r="G100" i="17" s="1"/>
  <c r="F100" i="17" s="1"/>
  <c r="K98" i="17"/>
  <c r="K96" i="17"/>
  <c r="K94" i="17"/>
  <c r="G94" i="17" s="1"/>
  <c r="F94" i="17" s="1"/>
  <c r="E94" i="17" s="1"/>
  <c r="D94" i="17" s="1"/>
  <c r="K91" i="17"/>
  <c r="G91" i="17" s="1"/>
  <c r="F91" i="17" s="1"/>
  <c r="E91" i="17" s="1"/>
  <c r="D91" i="17" s="1"/>
  <c r="G92" i="17"/>
  <c r="F92" i="17" s="1"/>
  <c r="K93" i="17"/>
  <c r="G93" i="17" s="1"/>
  <c r="K103" i="17"/>
  <c r="G103" i="17" s="1"/>
  <c r="F103" i="17" s="1"/>
  <c r="G145" i="17"/>
  <c r="F145" i="17" s="1"/>
  <c r="G134" i="17"/>
  <c r="H54" i="17"/>
  <c r="H56" i="17"/>
  <c r="H58" i="17"/>
  <c r="H60" i="17"/>
  <c r="K64" i="17"/>
  <c r="G64" i="17" s="1"/>
  <c r="K66" i="17"/>
  <c r="G66" i="17" s="1"/>
  <c r="K68" i="17"/>
  <c r="K70" i="17"/>
  <c r="G70" i="17" s="1"/>
  <c r="K72" i="17"/>
  <c r="G72" i="17" s="1"/>
  <c r="K74" i="17"/>
  <c r="G74" i="17" s="1"/>
  <c r="G75" i="17"/>
  <c r="F75" i="17" s="1"/>
  <c r="E75" i="17" s="1"/>
  <c r="D75" i="17" s="1"/>
  <c r="Q75" i="17" s="1"/>
  <c r="I92" i="17"/>
  <c r="I95" i="17"/>
  <c r="K99" i="17"/>
  <c r="G99" i="17" s="1"/>
  <c r="I100" i="17"/>
  <c r="G116" i="17"/>
  <c r="G136" i="17"/>
  <c r="G108" i="17"/>
  <c r="H119" i="17"/>
  <c r="I97" i="17"/>
  <c r="K101" i="17"/>
  <c r="G101" i="17" s="1"/>
  <c r="F101" i="17" s="1"/>
  <c r="E101" i="17" s="1"/>
  <c r="D101" i="17" s="1"/>
  <c r="G112" i="17"/>
  <c r="K119" i="17"/>
  <c r="G127" i="17"/>
  <c r="G129" i="17"/>
  <c r="H51" i="17"/>
  <c r="H53" i="17"/>
  <c r="H55" i="17"/>
  <c r="F55" i="17" s="1"/>
  <c r="E55" i="17" s="1"/>
  <c r="D55" i="17" s="1"/>
  <c r="Q55" i="17" s="1"/>
  <c r="H57" i="17"/>
  <c r="H59" i="17"/>
  <c r="H61" i="17"/>
  <c r="K63" i="17"/>
  <c r="K65" i="17"/>
  <c r="G65" i="17" s="1"/>
  <c r="F65" i="17" s="1"/>
  <c r="E65" i="17" s="1"/>
  <c r="D65" i="17" s="1"/>
  <c r="K67" i="17"/>
  <c r="G67" i="17" s="1"/>
  <c r="K69" i="17"/>
  <c r="G69" i="17" s="1"/>
  <c r="K71" i="17"/>
  <c r="G71" i="17" s="1"/>
  <c r="K73" i="17"/>
  <c r="G73" i="17" s="1"/>
  <c r="F73" i="17" s="1"/>
  <c r="E73" i="17" s="1"/>
  <c r="D73" i="17" s="1"/>
  <c r="Q73" i="17" s="1"/>
  <c r="G95" i="17"/>
  <c r="F95" i="17" s="1"/>
  <c r="H98" i="17"/>
  <c r="G111" i="17"/>
  <c r="F111" i="17" s="1"/>
  <c r="E111" i="17" s="1"/>
  <c r="D111" i="17" s="1"/>
  <c r="Q111" i="17" s="1"/>
  <c r="G138" i="17"/>
  <c r="K97" i="17"/>
  <c r="G106" i="17"/>
  <c r="F106" i="17" s="1"/>
  <c r="H116" i="17"/>
  <c r="G117" i="17"/>
  <c r="F117" i="17" s="1"/>
  <c r="I133" i="17"/>
  <c r="I135" i="17"/>
  <c r="I137" i="17"/>
  <c r="I139" i="17"/>
  <c r="I141" i="17"/>
  <c r="I143" i="17"/>
  <c r="I145" i="17"/>
  <c r="K162" i="17"/>
  <c r="G162" i="17" s="1"/>
  <c r="K164" i="17"/>
  <c r="G164" i="17" s="1"/>
  <c r="F164" i="17" s="1"/>
  <c r="E164" i="17" s="1"/>
  <c r="D164" i="17" s="1"/>
  <c r="K166" i="17"/>
  <c r="G166" i="17" s="1"/>
  <c r="F166" i="17" s="1"/>
  <c r="E166" i="17" s="1"/>
  <c r="D166" i="17" s="1"/>
  <c r="Q166" i="17" s="1"/>
  <c r="K168" i="17"/>
  <c r="G168" i="17" s="1"/>
  <c r="K170" i="17"/>
  <c r="G170" i="17" s="1"/>
  <c r="F170" i="17" s="1"/>
  <c r="E170" i="17" s="1"/>
  <c r="D170" i="17" s="1"/>
  <c r="Q170" i="17" s="1"/>
  <c r="K172" i="17"/>
  <c r="H187" i="17"/>
  <c r="H161" i="17"/>
  <c r="H163" i="17"/>
  <c r="H165" i="17"/>
  <c r="H167" i="17"/>
  <c r="H169" i="17"/>
  <c r="H171" i="17"/>
  <c r="H173" i="17"/>
  <c r="F173" i="17" s="1"/>
  <c r="E173" i="17" s="1"/>
  <c r="D173" i="17" s="1"/>
  <c r="Q173" i="17" s="1"/>
  <c r="G177" i="17"/>
  <c r="G181" i="17"/>
  <c r="G185" i="17"/>
  <c r="H121" i="17"/>
  <c r="H123" i="17"/>
  <c r="H125" i="17"/>
  <c r="H127" i="17"/>
  <c r="H129" i="17"/>
  <c r="H131" i="17"/>
  <c r="K133" i="17"/>
  <c r="K135" i="17"/>
  <c r="K137" i="17"/>
  <c r="K139" i="17"/>
  <c r="G140" i="17"/>
  <c r="K141" i="17"/>
  <c r="K143" i="17"/>
  <c r="G144" i="17"/>
  <c r="H177" i="17"/>
  <c r="H181" i="17"/>
  <c r="H185" i="17"/>
  <c r="H134" i="17"/>
  <c r="H136" i="17"/>
  <c r="H138" i="17"/>
  <c r="H140" i="17"/>
  <c r="H142" i="17"/>
  <c r="H144" i="17"/>
  <c r="I177" i="17"/>
  <c r="I181" i="17"/>
  <c r="I185" i="17"/>
  <c r="G186" i="17"/>
  <c r="K187" i="17"/>
  <c r="G187" i="17" s="1"/>
  <c r="H147" i="17"/>
  <c r="H149" i="17"/>
  <c r="H151" i="17"/>
  <c r="H153" i="17"/>
  <c r="H155" i="17"/>
  <c r="F155" i="17" s="1"/>
  <c r="E155" i="17" s="1"/>
  <c r="D155" i="17" s="1"/>
  <c r="Q155" i="17" s="1"/>
  <c r="H157" i="17"/>
  <c r="H159" i="17"/>
  <c r="K161" i="17"/>
  <c r="K163" i="17"/>
  <c r="G163" i="17" s="1"/>
  <c r="K165" i="17"/>
  <c r="K167" i="17"/>
  <c r="K169" i="17"/>
  <c r="G169" i="17" s="1"/>
  <c r="K171" i="17"/>
  <c r="H178" i="17"/>
  <c r="F178" i="17" s="1"/>
  <c r="E178" i="17" s="1"/>
  <c r="D178" i="17" s="1"/>
  <c r="Q178" i="17" s="1"/>
  <c r="H182" i="17"/>
  <c r="F182" i="17" s="1"/>
  <c r="E182" i="17" s="1"/>
  <c r="D182" i="17" s="1"/>
  <c r="Q182" i="17" s="1"/>
  <c r="H186" i="17"/>
  <c r="K147" i="17"/>
  <c r="K149" i="17"/>
  <c r="F157" i="17" l="1"/>
  <c r="E157" i="17" s="1"/>
  <c r="D157" i="17" s="1"/>
  <c r="Q157" i="17" s="1"/>
  <c r="F123" i="17"/>
  <c r="E123" i="17" s="1"/>
  <c r="D123" i="17" s="1"/>
  <c r="Q123" i="17" s="1"/>
  <c r="E81" i="17"/>
  <c r="D81" i="17" s="1"/>
  <c r="F33" i="17"/>
  <c r="E33" i="17" s="1"/>
  <c r="D33" i="17" s="1"/>
  <c r="Q33" i="17" s="1"/>
  <c r="F153" i="17"/>
  <c r="E153" i="17" s="1"/>
  <c r="D153" i="17" s="1"/>
  <c r="Q153" i="17" s="1"/>
  <c r="F66" i="17"/>
  <c r="E66" i="17" s="1"/>
  <c r="D66" i="17" s="1"/>
  <c r="Q66" i="17" s="1"/>
  <c r="E103" i="17"/>
  <c r="D103" i="17" s="1"/>
  <c r="Q103" i="17" s="1"/>
  <c r="F102" i="17"/>
  <c r="E102" i="17" s="1"/>
  <c r="D102" i="17" s="1"/>
  <c r="Q102" i="17" s="1"/>
  <c r="F107" i="17"/>
  <c r="E107" i="17" s="1"/>
  <c r="D107" i="17" s="1"/>
  <c r="Q107" i="17" s="1"/>
  <c r="E115" i="17"/>
  <c r="D115" i="17" s="1"/>
  <c r="Q115" i="17" s="1"/>
  <c r="F80" i="17"/>
  <c r="E80" i="17" s="1"/>
  <c r="D80" i="17" s="1"/>
  <c r="F88" i="17"/>
  <c r="E88" i="17" s="1"/>
  <c r="D88" i="17" s="1"/>
  <c r="E28" i="17"/>
  <c r="D28" i="17" s="1"/>
  <c r="Q28" i="17" s="1"/>
  <c r="E152" i="17"/>
  <c r="D152" i="17" s="1"/>
  <c r="Q152" i="17" s="1"/>
  <c r="E77" i="17"/>
  <c r="D77" i="17" s="1"/>
  <c r="Q77" i="17" s="1"/>
  <c r="F10" i="17"/>
  <c r="E10" i="17" s="1"/>
  <c r="D10" i="17" s="1"/>
  <c r="Q10" i="17" s="1"/>
  <c r="F151" i="17"/>
  <c r="E151" i="17" s="1"/>
  <c r="D151" i="17" s="1"/>
  <c r="Q151" i="17" s="1"/>
  <c r="F162" i="17"/>
  <c r="E162" i="17" s="1"/>
  <c r="D162" i="17" s="1"/>
  <c r="Q162" i="17" s="1"/>
  <c r="E117" i="17"/>
  <c r="D117" i="17" s="1"/>
  <c r="Q117" i="17" s="1"/>
  <c r="F87" i="17"/>
  <c r="E87" i="17" s="1"/>
  <c r="D87" i="17" s="1"/>
  <c r="Q87" i="17" s="1"/>
  <c r="F11" i="17"/>
  <c r="E11" i="17" s="1"/>
  <c r="D11" i="17" s="1"/>
  <c r="Q11" i="17" s="1"/>
  <c r="E26" i="17"/>
  <c r="D26" i="17" s="1"/>
  <c r="Q26" i="17" s="1"/>
  <c r="F19" i="17"/>
  <c r="E19" i="17" s="1"/>
  <c r="D19" i="17" s="1"/>
  <c r="F42" i="17"/>
  <c r="E42" i="17" s="1"/>
  <c r="D42" i="17" s="1"/>
  <c r="Q42" i="17" s="1"/>
  <c r="F46" i="17"/>
  <c r="E46" i="17" s="1"/>
  <c r="D46" i="17" s="1"/>
  <c r="Q46" i="17" s="1"/>
  <c r="F285" i="5"/>
  <c r="E285" i="5" s="1"/>
  <c r="D285" i="5" s="1"/>
  <c r="Q285" i="5" s="1"/>
  <c r="S285" i="5" s="1"/>
  <c r="F288" i="5"/>
  <c r="E288" i="5" s="1"/>
  <c r="D288" i="5" s="1"/>
  <c r="Q288" i="5" s="1"/>
  <c r="S288" i="5" s="1"/>
  <c r="F291" i="5"/>
  <c r="E291" i="5" s="1"/>
  <c r="D291" i="5" s="1"/>
  <c r="Q291" i="5" s="1"/>
  <c r="S291" i="5" s="1"/>
  <c r="F286" i="5"/>
  <c r="E286" i="5" s="1"/>
  <c r="D286" i="5" s="1"/>
  <c r="Q286" i="5" s="1"/>
  <c r="S286" i="5" s="1"/>
  <c r="F283" i="5"/>
  <c r="E283" i="5" s="1"/>
  <c r="D283" i="5" s="1"/>
  <c r="Q283" i="5" s="1"/>
  <c r="S283" i="5" s="1"/>
  <c r="F287" i="5"/>
  <c r="E287" i="5" s="1"/>
  <c r="D287" i="5" s="1"/>
  <c r="Q287" i="5" s="1"/>
  <c r="S287" i="5" s="1"/>
  <c r="F281" i="5"/>
  <c r="E281" i="5" s="1"/>
  <c r="D281" i="5" s="1"/>
  <c r="Q281" i="5" s="1"/>
  <c r="S281" i="5" s="1"/>
  <c r="F284" i="5"/>
  <c r="E284" i="5" s="1"/>
  <c r="D284" i="5" s="1"/>
  <c r="Q284" i="5" s="1"/>
  <c r="S284" i="5" s="1"/>
  <c r="F279" i="5"/>
  <c r="E279" i="5" s="1"/>
  <c r="D279" i="5" s="1"/>
  <c r="Q279" i="5" s="1"/>
  <c r="S279" i="5" s="1"/>
  <c r="F290" i="5"/>
  <c r="E290" i="5" s="1"/>
  <c r="D290" i="5" s="1"/>
  <c r="Q290" i="5" s="1"/>
  <c r="S290" i="5" s="1"/>
  <c r="F289" i="5"/>
  <c r="E289" i="5" s="1"/>
  <c r="D289" i="5" s="1"/>
  <c r="Q289" i="5" s="1"/>
  <c r="S289" i="5" s="1"/>
  <c r="F282" i="5"/>
  <c r="E282" i="5" s="1"/>
  <c r="D282" i="5" s="1"/>
  <c r="Q282" i="5" s="1"/>
  <c r="S282" i="5" s="1"/>
  <c r="F280" i="5"/>
  <c r="E280" i="5" s="1"/>
  <c r="D280" i="5" s="1"/>
  <c r="Q280" i="5" s="1"/>
  <c r="S280" i="5" s="1"/>
  <c r="F16" i="17"/>
  <c r="E16" i="17" s="1"/>
  <c r="D16" i="17" s="1"/>
  <c r="F130" i="17"/>
  <c r="E130" i="17" s="1"/>
  <c r="D130" i="17" s="1"/>
  <c r="Q130" i="17" s="1"/>
  <c r="F168" i="17"/>
  <c r="E168" i="17" s="1"/>
  <c r="D168" i="17" s="1"/>
  <c r="Q168" i="17" s="1"/>
  <c r="F124" i="17"/>
  <c r="E124" i="17" s="1"/>
  <c r="D124" i="17" s="1"/>
  <c r="Q124" i="17" s="1"/>
  <c r="F74" i="17"/>
  <c r="E74" i="17" s="1"/>
  <c r="D74" i="17" s="1"/>
  <c r="F89" i="17"/>
  <c r="E89" i="17" s="1"/>
  <c r="D89" i="17" s="1"/>
  <c r="Q89" i="17" s="1"/>
  <c r="F113" i="17"/>
  <c r="E113" i="17" s="1"/>
  <c r="D113" i="17" s="1"/>
  <c r="Q113" i="17" s="1"/>
  <c r="E106" i="17"/>
  <c r="D106" i="17" s="1"/>
  <c r="Q106" i="17" s="1"/>
  <c r="F71" i="17"/>
  <c r="E71" i="17" s="1"/>
  <c r="D71" i="17" s="1"/>
  <c r="Q71" i="17" s="1"/>
  <c r="E17" i="17"/>
  <c r="D17" i="17" s="1"/>
  <c r="Q17" i="17" s="1"/>
  <c r="F24" i="17"/>
  <c r="E24" i="17" s="1"/>
  <c r="D24" i="17" s="1"/>
  <c r="Q24" i="17" s="1"/>
  <c r="F69" i="17"/>
  <c r="E69" i="17" s="1"/>
  <c r="D69" i="17" s="1"/>
  <c r="F67" i="17"/>
  <c r="E67" i="17" s="1"/>
  <c r="D67" i="17" s="1"/>
  <c r="F93" i="17"/>
  <c r="E93" i="17" s="1"/>
  <c r="D93" i="17" s="1"/>
  <c r="F120" i="17"/>
  <c r="E120" i="17" s="1"/>
  <c r="D120" i="17" s="1"/>
  <c r="Q120" i="17" s="1"/>
  <c r="E22" i="17"/>
  <c r="D22" i="17" s="1"/>
  <c r="Q22" i="17" s="1"/>
  <c r="F140" i="17"/>
  <c r="E140" i="17" s="1"/>
  <c r="D140" i="17" s="1"/>
  <c r="Q140" i="17" s="1"/>
  <c r="F64" i="17"/>
  <c r="E64" i="17" s="1"/>
  <c r="D64" i="17" s="1"/>
  <c r="Q64" i="17" s="1"/>
  <c r="F116" i="17"/>
  <c r="E116" i="17" s="1"/>
  <c r="D116" i="17" s="1"/>
  <c r="Q116" i="17" s="1"/>
  <c r="E156" i="17"/>
  <c r="D156" i="17" s="1"/>
  <c r="Q156" i="17" s="1"/>
  <c r="F99" i="17"/>
  <c r="F122" i="17"/>
  <c r="E122" i="17" s="1"/>
  <c r="D122" i="17" s="1"/>
  <c r="Q122" i="17" s="1"/>
  <c r="F105" i="17"/>
  <c r="E105" i="17" s="1"/>
  <c r="D105" i="17" s="1"/>
  <c r="Q105" i="17" s="1"/>
  <c r="F187" i="17"/>
  <c r="E187" i="17" s="1"/>
  <c r="D187" i="17" s="1"/>
  <c r="Q187" i="17" s="1"/>
  <c r="F142" i="17"/>
  <c r="E142" i="17" s="1"/>
  <c r="D142" i="17" s="1"/>
  <c r="Q142" i="17" s="1"/>
  <c r="F70" i="17"/>
  <c r="E70" i="17" s="1"/>
  <c r="D70" i="17" s="1"/>
  <c r="Q70" i="17" s="1"/>
  <c r="F8" i="17"/>
  <c r="E8" i="17" s="1"/>
  <c r="D8" i="17" s="1"/>
  <c r="Q8" i="17" s="1"/>
  <c r="F30" i="17"/>
  <c r="E30" i="17" s="1"/>
  <c r="D30" i="17" s="1"/>
  <c r="Q30" i="17" s="1"/>
  <c r="E21" i="17"/>
  <c r="D21" i="17" s="1"/>
  <c r="F169" i="17"/>
  <c r="E169" i="17" s="1"/>
  <c r="D169" i="17" s="1"/>
  <c r="Q169" i="17" s="1"/>
  <c r="F25" i="17"/>
  <c r="E25" i="17" s="1"/>
  <c r="D25" i="17" s="1"/>
  <c r="Q25" i="17" s="1"/>
  <c r="F83" i="17"/>
  <c r="E83" i="17" s="1"/>
  <c r="D83" i="17" s="1"/>
  <c r="Q83" i="17" s="1"/>
  <c r="F163" i="17"/>
  <c r="E163" i="17" s="1"/>
  <c r="D163" i="17" s="1"/>
  <c r="Q163" i="17" s="1"/>
  <c r="F112" i="17"/>
  <c r="E112" i="17" s="1"/>
  <c r="D112" i="17" s="1"/>
  <c r="Q112" i="17" s="1"/>
  <c r="F109" i="17"/>
  <c r="E109" i="17" s="1"/>
  <c r="D109" i="17" s="1"/>
  <c r="Q109" i="17" s="1"/>
  <c r="F125" i="17"/>
  <c r="E125" i="17" s="1"/>
  <c r="D125" i="17" s="1"/>
  <c r="Q125" i="17" s="1"/>
  <c r="Q101" i="17"/>
  <c r="E37" i="17"/>
  <c r="D37" i="17" s="1"/>
  <c r="Q37" i="17" s="1"/>
  <c r="E180" i="17"/>
  <c r="D180" i="17" s="1"/>
  <c r="Q180" i="17" s="1"/>
  <c r="F51" i="17"/>
  <c r="E51" i="17" s="1"/>
  <c r="D51" i="17" s="1"/>
  <c r="Q51" i="17" s="1"/>
  <c r="E95" i="17"/>
  <c r="D95" i="17" s="1"/>
  <c r="Q95" i="17" s="1"/>
  <c r="E92" i="17"/>
  <c r="D92" i="17" s="1"/>
  <c r="Q92" i="17" s="1"/>
  <c r="F49" i="17"/>
  <c r="E49" i="17" s="1"/>
  <c r="D49" i="17" s="1"/>
  <c r="Q49" i="17" s="1"/>
  <c r="F114" i="17"/>
  <c r="E114" i="17" s="1"/>
  <c r="D114" i="17" s="1"/>
  <c r="Q114" i="17" s="1"/>
  <c r="G148" i="17"/>
  <c r="F148" i="17" s="1"/>
  <c r="E148" i="17" s="1"/>
  <c r="D148" i="17" s="1"/>
  <c r="Q148" i="17" s="1"/>
  <c r="F18" i="17"/>
  <c r="E18" i="17" s="1"/>
  <c r="D18" i="17" s="1"/>
  <c r="Q18" i="17" s="1"/>
  <c r="E36" i="17"/>
  <c r="D36" i="17" s="1"/>
  <c r="Q36" i="17" s="1"/>
  <c r="E99" i="17"/>
  <c r="D99" i="17" s="1"/>
  <c r="Q99" i="17" s="1"/>
  <c r="F131" i="17"/>
  <c r="E131" i="17" s="1"/>
  <c r="D131" i="17" s="1"/>
  <c r="Q131" i="17" s="1"/>
  <c r="E145" i="17"/>
  <c r="D145" i="17" s="1"/>
  <c r="Q145" i="17" s="1"/>
  <c r="F53" i="17"/>
  <c r="E53" i="17" s="1"/>
  <c r="D53" i="17" s="1"/>
  <c r="Q53" i="17" s="1"/>
  <c r="Q81" i="17"/>
  <c r="F177" i="17"/>
  <c r="E177" i="17" s="1"/>
  <c r="D177" i="17" s="1"/>
  <c r="Q177" i="17" s="1"/>
  <c r="F110" i="17"/>
  <c r="E110" i="17" s="1"/>
  <c r="D110" i="17" s="1"/>
  <c r="Q110" i="17" s="1"/>
  <c r="E184" i="17"/>
  <c r="D184" i="17" s="1"/>
  <c r="Q184" i="17" s="1"/>
  <c r="Q67" i="17"/>
  <c r="E100" i="17"/>
  <c r="D100" i="17" s="1"/>
  <c r="Q100" i="17" s="1"/>
  <c r="F29" i="17"/>
  <c r="E29" i="17" s="1"/>
  <c r="D29" i="17" s="1"/>
  <c r="Q29" i="17" s="1"/>
  <c r="G147" i="17"/>
  <c r="F147" i="17" s="1"/>
  <c r="E147" i="17" s="1"/>
  <c r="D147" i="17" s="1"/>
  <c r="Q147" i="17" s="1"/>
  <c r="F181" i="17"/>
  <c r="E181" i="17" s="1"/>
  <c r="D181" i="17" s="1"/>
  <c r="Q181" i="17" s="1"/>
  <c r="G171" i="17"/>
  <c r="F171" i="17" s="1"/>
  <c r="E171" i="17" s="1"/>
  <c r="D171" i="17" s="1"/>
  <c r="Q171" i="17" s="1"/>
  <c r="G161" i="17"/>
  <c r="F161" i="17" s="1"/>
  <c r="E161" i="17" s="1"/>
  <c r="D161" i="17" s="1"/>
  <c r="Q161" i="17" s="1"/>
  <c r="G167" i="17"/>
  <c r="F167" i="17" s="1"/>
  <c r="E167" i="17" s="1"/>
  <c r="D167" i="17" s="1"/>
  <c r="Q167" i="17" s="1"/>
  <c r="F134" i="17"/>
  <c r="E134" i="17" s="1"/>
  <c r="D134" i="17" s="1"/>
  <c r="Q134" i="17" s="1"/>
  <c r="Q65" i="17"/>
  <c r="F59" i="17"/>
  <c r="E59" i="17" s="1"/>
  <c r="D59" i="17" s="1"/>
  <c r="Q59" i="17" s="1"/>
  <c r="G86" i="17"/>
  <c r="F86" i="17" s="1"/>
  <c r="E86" i="17" s="1"/>
  <c r="D86" i="17" s="1"/>
  <c r="Q86" i="17" s="1"/>
  <c r="G56" i="17"/>
  <c r="F56" i="17" s="1"/>
  <c r="E56" i="17" s="1"/>
  <c r="D56" i="17" s="1"/>
  <c r="Q56" i="17" s="1"/>
  <c r="G165" i="17"/>
  <c r="F165" i="17" s="1"/>
  <c r="E165" i="17" s="1"/>
  <c r="D165" i="17" s="1"/>
  <c r="Q165" i="17" s="1"/>
  <c r="G57" i="17"/>
  <c r="F57" i="17" s="1"/>
  <c r="E57" i="17" s="1"/>
  <c r="D57" i="17" s="1"/>
  <c r="Q57" i="17" s="1"/>
  <c r="Q74" i="17"/>
  <c r="G13" i="17"/>
  <c r="F13" i="17" s="1"/>
  <c r="E13" i="17" s="1"/>
  <c r="D13" i="17" s="1"/>
  <c r="Q13" i="17" s="1"/>
  <c r="G172" i="17"/>
  <c r="F172" i="17" s="1"/>
  <c r="E172" i="17" s="1"/>
  <c r="D172" i="17" s="1"/>
  <c r="Q172" i="17" s="1"/>
  <c r="F129" i="17"/>
  <c r="E129" i="17" s="1"/>
  <c r="D129" i="17" s="1"/>
  <c r="Q129" i="17" s="1"/>
  <c r="F159" i="17"/>
  <c r="E159" i="17" s="1"/>
  <c r="D159" i="17" s="1"/>
  <c r="Q159" i="17" s="1"/>
  <c r="Q16" i="17"/>
  <c r="G60" i="17"/>
  <c r="F60" i="17" s="1"/>
  <c r="E60" i="17" s="1"/>
  <c r="D60" i="17" s="1"/>
  <c r="Q60" i="17" s="1"/>
  <c r="F121" i="17"/>
  <c r="E121" i="17" s="1"/>
  <c r="D121" i="17" s="1"/>
  <c r="Q121" i="17" s="1"/>
  <c r="G68" i="17"/>
  <c r="F68" i="17" s="1"/>
  <c r="E68" i="17" s="1"/>
  <c r="D68" i="17" s="1"/>
  <c r="Q68" i="17" s="1"/>
  <c r="G47" i="17"/>
  <c r="F47" i="17" s="1"/>
  <c r="E47" i="17" s="1"/>
  <c r="D47" i="17" s="1"/>
  <c r="Q47" i="17" s="1"/>
  <c r="G15" i="17"/>
  <c r="F15" i="17" s="1"/>
  <c r="E15" i="17" s="1"/>
  <c r="D15" i="17" s="1"/>
  <c r="Q15" i="17" s="1"/>
  <c r="F27" i="17"/>
  <c r="E27" i="17" s="1"/>
  <c r="D27" i="17" s="1"/>
  <c r="Q27" i="17" s="1"/>
  <c r="G58" i="17"/>
  <c r="F58" i="17" s="1"/>
  <c r="E58" i="17" s="1"/>
  <c r="D58" i="17" s="1"/>
  <c r="Q58" i="17" s="1"/>
  <c r="F72" i="17"/>
  <c r="E72" i="17" s="1"/>
  <c r="D72" i="17" s="1"/>
  <c r="Q72" i="17" s="1"/>
  <c r="G139" i="17"/>
  <c r="F139" i="17" s="1"/>
  <c r="E139" i="17" s="1"/>
  <c r="D139" i="17" s="1"/>
  <c r="Q139" i="17" s="1"/>
  <c r="F127" i="17"/>
  <c r="E127" i="17" s="1"/>
  <c r="D127" i="17" s="1"/>
  <c r="Q127" i="17" s="1"/>
  <c r="Q164" i="17"/>
  <c r="G45" i="17"/>
  <c r="F45" i="17" s="1"/>
  <c r="E45" i="17" s="1"/>
  <c r="D45" i="17" s="1"/>
  <c r="Q45" i="17" s="1"/>
  <c r="G12" i="17"/>
  <c r="F12" i="17" s="1"/>
  <c r="E12" i="17" s="1"/>
  <c r="D12" i="17" s="1"/>
  <c r="Q12" i="17" s="1"/>
  <c r="G97" i="17"/>
  <c r="F97" i="17" s="1"/>
  <c r="E97" i="17" s="1"/>
  <c r="D97" i="17" s="1"/>
  <c r="Q97" i="17" s="1"/>
  <c r="G23" i="17"/>
  <c r="F23" i="17" s="1"/>
  <c r="E23" i="17" s="1"/>
  <c r="D23" i="17" s="1"/>
  <c r="Q23" i="17" s="1"/>
  <c r="Q19" i="17"/>
  <c r="Q78" i="17"/>
  <c r="G44" i="17"/>
  <c r="F44" i="17" s="1"/>
  <c r="E44" i="17" s="1"/>
  <c r="D44" i="17" s="1"/>
  <c r="Q44" i="17" s="1"/>
  <c r="Q93" i="17"/>
  <c r="G7" i="17"/>
  <c r="F7" i="17" s="1"/>
  <c r="E7" i="17" s="1"/>
  <c r="D7" i="17" s="1"/>
  <c r="Q7" i="17" s="1"/>
  <c r="G14" i="17"/>
  <c r="F14" i="17" s="1"/>
  <c r="E14" i="17" s="1"/>
  <c r="D14" i="17" s="1"/>
  <c r="Q14" i="17" s="1"/>
  <c r="F186" i="17"/>
  <c r="E186" i="17" s="1"/>
  <c r="D186" i="17" s="1"/>
  <c r="Q186" i="17" s="1"/>
  <c r="G32" i="17"/>
  <c r="F32" i="17" s="1"/>
  <c r="E32" i="17" s="1"/>
  <c r="D32" i="17" s="1"/>
  <c r="Q32" i="17" s="1"/>
  <c r="F136" i="17"/>
  <c r="E136" i="17" s="1"/>
  <c r="D136" i="17" s="1"/>
  <c r="Q136" i="17" s="1"/>
  <c r="G135" i="17"/>
  <c r="F135" i="17" s="1"/>
  <c r="E135" i="17" s="1"/>
  <c r="D135" i="17" s="1"/>
  <c r="Q135" i="17" s="1"/>
  <c r="F138" i="17"/>
  <c r="E138" i="17" s="1"/>
  <c r="D138" i="17" s="1"/>
  <c r="Q138" i="17" s="1"/>
  <c r="G119" i="17"/>
  <c r="F119" i="17" s="1"/>
  <c r="E119" i="17" s="1"/>
  <c r="D119" i="17" s="1"/>
  <c r="Q119" i="17" s="1"/>
  <c r="G63" i="17"/>
  <c r="F63" i="17" s="1"/>
  <c r="E63" i="17" s="1"/>
  <c r="D63" i="17" s="1"/>
  <c r="Q63" i="17" s="1"/>
  <c r="G96" i="17"/>
  <c r="F96" i="17" s="1"/>
  <c r="E96" i="17" s="1"/>
  <c r="D96" i="17" s="1"/>
  <c r="Q96" i="17" s="1"/>
  <c r="G50" i="17"/>
  <c r="F50" i="17" s="1"/>
  <c r="E50" i="17" s="1"/>
  <c r="D50" i="17" s="1"/>
  <c r="Q50" i="17" s="1"/>
  <c r="G39" i="17"/>
  <c r="F39" i="17" s="1"/>
  <c r="E39" i="17" s="1"/>
  <c r="D39" i="17" s="1"/>
  <c r="Q39" i="17" s="1"/>
  <c r="Q80" i="17"/>
  <c r="Q94" i="17"/>
  <c r="Q21" i="17"/>
  <c r="G9" i="17"/>
  <c r="F9" i="17" s="1"/>
  <c r="E9" i="17" s="1"/>
  <c r="D9" i="17" s="1"/>
  <c r="Q9" i="17" s="1"/>
  <c r="G137" i="17"/>
  <c r="F137" i="17" s="1"/>
  <c r="E137" i="17" s="1"/>
  <c r="D137" i="17" s="1"/>
  <c r="Q137" i="17" s="1"/>
  <c r="F144" i="17"/>
  <c r="E144" i="17" s="1"/>
  <c r="D144" i="17" s="1"/>
  <c r="Q144" i="17" s="1"/>
  <c r="F108" i="17"/>
  <c r="E108" i="17" s="1"/>
  <c r="D108" i="17" s="1"/>
  <c r="Q108" i="17" s="1"/>
  <c r="G98" i="17"/>
  <c r="F98" i="17" s="1"/>
  <c r="E98" i="17" s="1"/>
  <c r="D98" i="17" s="1"/>
  <c r="Q98" i="17" s="1"/>
  <c r="Q69" i="17"/>
  <c r="G52" i="17"/>
  <c r="F52" i="17" s="1"/>
  <c r="E52" i="17" s="1"/>
  <c r="D52" i="17" s="1"/>
  <c r="Q52" i="17" s="1"/>
  <c r="G38" i="17"/>
  <c r="F38" i="17" s="1"/>
  <c r="E38" i="17" s="1"/>
  <c r="D38" i="17" s="1"/>
  <c r="Q38" i="17" s="1"/>
  <c r="F61" i="17"/>
  <c r="E61" i="17" s="1"/>
  <c r="D61" i="17" s="1"/>
  <c r="Q61" i="17" s="1"/>
  <c r="G43" i="17"/>
  <c r="F43" i="17" s="1"/>
  <c r="E43" i="17" s="1"/>
  <c r="D43" i="17" s="1"/>
  <c r="Q43" i="17" s="1"/>
  <c r="G31" i="17"/>
  <c r="F31" i="17" s="1"/>
  <c r="E31" i="17" s="1"/>
  <c r="D31" i="17" s="1"/>
  <c r="Q31" i="17" s="1"/>
  <c r="Q88" i="17"/>
  <c r="G82" i="17"/>
  <c r="F82" i="17" s="1"/>
  <c r="E82" i="17" s="1"/>
  <c r="D82" i="17" s="1"/>
  <c r="Q82" i="17" s="1"/>
  <c r="G141" i="17"/>
  <c r="F141" i="17" s="1"/>
  <c r="E141" i="17" s="1"/>
  <c r="D141" i="17" s="1"/>
  <c r="Q141" i="17" s="1"/>
  <c r="G133" i="17"/>
  <c r="F133" i="17" s="1"/>
  <c r="E133" i="17" s="1"/>
  <c r="D133" i="17" s="1"/>
  <c r="Q133" i="17" s="1"/>
  <c r="F185" i="17"/>
  <c r="E185" i="17" s="1"/>
  <c r="D185" i="17" s="1"/>
  <c r="Q185" i="17" s="1"/>
  <c r="G149" i="17"/>
  <c r="F149" i="17" s="1"/>
  <c r="E149" i="17" s="1"/>
  <c r="D149" i="17" s="1"/>
  <c r="Q149" i="17" s="1"/>
  <c r="G143" i="17"/>
  <c r="F143" i="17" s="1"/>
  <c r="E143" i="17" s="1"/>
  <c r="D143" i="17" s="1"/>
  <c r="Q143" i="17" s="1"/>
  <c r="G40" i="17"/>
  <c r="F40" i="17" s="1"/>
  <c r="E40" i="17" s="1"/>
  <c r="D40" i="17" s="1"/>
  <c r="Q40" i="17" s="1"/>
  <c r="Q91" i="17"/>
  <c r="G84" i="17"/>
  <c r="F84" i="17" s="1"/>
  <c r="E84" i="17" s="1"/>
  <c r="D84" i="17" s="1"/>
  <c r="Q84" i="17" s="1"/>
  <c r="G54" i="17"/>
  <c r="F54" i="17" s="1"/>
  <c r="E54" i="17" s="1"/>
  <c r="D54" i="17" s="1"/>
  <c r="Q54" i="17" s="1"/>
  <c r="M7" i="16"/>
  <c r="L208" i="16"/>
  <c r="M208" i="16"/>
  <c r="P195" i="16"/>
  <c r="K208" i="16" s="1"/>
  <c r="J208" i="16"/>
  <c r="H208" i="16" s="1"/>
  <c r="N208" i="16"/>
  <c r="L207" i="16"/>
  <c r="M207" i="16"/>
  <c r="J207" i="16"/>
  <c r="H207" i="16" s="1"/>
  <c r="N207" i="16"/>
  <c r="L206" i="16"/>
  <c r="G206" i="16" s="1"/>
  <c r="J206" i="16"/>
  <c r="I206" i="16" s="1"/>
  <c r="H206" i="16"/>
  <c r="N206" i="16"/>
  <c r="L205" i="16"/>
  <c r="G205" i="16" s="1"/>
  <c r="J205" i="16"/>
  <c r="I205" i="16" s="1"/>
  <c r="N205" i="16"/>
  <c r="L204" i="16"/>
  <c r="J204" i="16"/>
  <c r="G204" i="16"/>
  <c r="N204" i="16"/>
  <c r="L203" i="16"/>
  <c r="G203" i="16" s="1"/>
  <c r="J203" i="16"/>
  <c r="N203" i="16"/>
  <c r="L202" i="16"/>
  <c r="G202" i="16" s="1"/>
  <c r="J202" i="16"/>
  <c r="H202" i="16" s="1"/>
  <c r="N202" i="16"/>
  <c r="L201" i="16"/>
  <c r="G201" i="16" s="1"/>
  <c r="J201" i="16"/>
  <c r="I201" i="16" s="1"/>
  <c r="N201" i="16"/>
  <c r="L200" i="16"/>
  <c r="G200" i="16" s="1"/>
  <c r="J200" i="16"/>
  <c r="H200" i="16" s="1"/>
  <c r="N200" i="16"/>
  <c r="L199" i="16"/>
  <c r="G199" i="16" s="1"/>
  <c r="J199" i="16"/>
  <c r="N199" i="16"/>
  <c r="L198" i="16"/>
  <c r="G198" i="16" s="1"/>
  <c r="J198" i="16"/>
  <c r="I198" i="16" s="1"/>
  <c r="N198" i="16"/>
  <c r="L197" i="16"/>
  <c r="G197" i="16" s="1"/>
  <c r="J197" i="16"/>
  <c r="I197" i="16" s="1"/>
  <c r="N197" i="16"/>
  <c r="L196" i="16"/>
  <c r="G196" i="16" s="1"/>
  <c r="J196" i="16"/>
  <c r="H196" i="16" s="1"/>
  <c r="N196" i="16"/>
  <c r="L194" i="16"/>
  <c r="M194" i="16"/>
  <c r="P181" i="16"/>
  <c r="K191" i="16" s="1"/>
  <c r="J194" i="16"/>
  <c r="I194" i="16" s="1"/>
  <c r="N194" i="16"/>
  <c r="L193" i="16"/>
  <c r="M193" i="16"/>
  <c r="J193" i="16"/>
  <c r="H193" i="16" s="1"/>
  <c r="N193" i="16"/>
  <c r="L192" i="16"/>
  <c r="M192" i="16"/>
  <c r="J192" i="16"/>
  <c r="I192" i="16" s="1"/>
  <c r="N192" i="16"/>
  <c r="L191" i="16"/>
  <c r="M191" i="16"/>
  <c r="J191" i="16"/>
  <c r="N191" i="16"/>
  <c r="L190" i="16"/>
  <c r="M190" i="16"/>
  <c r="K190" i="16"/>
  <c r="J190" i="16"/>
  <c r="I190" i="16" s="1"/>
  <c r="N190" i="16"/>
  <c r="L189" i="16"/>
  <c r="M189" i="16"/>
  <c r="K189" i="16"/>
  <c r="J189" i="16"/>
  <c r="H189" i="16" s="1"/>
  <c r="N189" i="16"/>
  <c r="L188" i="16"/>
  <c r="M188" i="16"/>
  <c r="J188" i="16"/>
  <c r="H188" i="16" s="1"/>
  <c r="N188" i="16"/>
  <c r="L187" i="16"/>
  <c r="M187" i="16"/>
  <c r="J187" i="16"/>
  <c r="N187" i="16"/>
  <c r="L186" i="16"/>
  <c r="M186" i="16"/>
  <c r="J186" i="16"/>
  <c r="N186" i="16"/>
  <c r="L185" i="16"/>
  <c r="M185" i="16"/>
  <c r="K185" i="16"/>
  <c r="J185" i="16"/>
  <c r="H185" i="16" s="1"/>
  <c r="N185" i="16"/>
  <c r="L184" i="16"/>
  <c r="M184" i="16"/>
  <c r="J184" i="16"/>
  <c r="H184" i="16" s="1"/>
  <c r="N184" i="16"/>
  <c r="L183" i="16"/>
  <c r="M183" i="16"/>
  <c r="J183" i="16"/>
  <c r="N183" i="16"/>
  <c r="L182" i="16"/>
  <c r="M182" i="16"/>
  <c r="K182" i="16"/>
  <c r="J182" i="16"/>
  <c r="I182" i="16" s="1"/>
  <c r="N182" i="16"/>
  <c r="L180" i="16"/>
  <c r="M180" i="16"/>
  <c r="P167" i="16"/>
  <c r="K168" i="16" s="1"/>
  <c r="J180" i="16"/>
  <c r="N180" i="16"/>
  <c r="L179" i="16"/>
  <c r="M179" i="16"/>
  <c r="J179" i="16"/>
  <c r="H179" i="16" s="1"/>
  <c r="N179" i="16"/>
  <c r="L178" i="16"/>
  <c r="M178" i="16"/>
  <c r="K178" i="16"/>
  <c r="J178" i="16"/>
  <c r="I178" i="16" s="1"/>
  <c r="H178" i="16"/>
  <c r="N178" i="16"/>
  <c r="L177" i="16"/>
  <c r="M177" i="16"/>
  <c r="K177" i="16"/>
  <c r="J177" i="16"/>
  <c r="N177" i="16"/>
  <c r="L176" i="16"/>
  <c r="M176" i="16"/>
  <c r="K176" i="16"/>
  <c r="J176" i="16"/>
  <c r="I176" i="16" s="1"/>
  <c r="N176" i="16"/>
  <c r="L175" i="16"/>
  <c r="M175" i="16"/>
  <c r="K175" i="16"/>
  <c r="J175" i="16"/>
  <c r="H175" i="16" s="1"/>
  <c r="N175" i="16"/>
  <c r="L174" i="16"/>
  <c r="M174" i="16"/>
  <c r="K174" i="16"/>
  <c r="J174" i="16"/>
  <c r="H174" i="16" s="1"/>
  <c r="N174" i="16"/>
  <c r="L173" i="16"/>
  <c r="M173" i="16"/>
  <c r="K173" i="16"/>
  <c r="J173" i="16"/>
  <c r="N173" i="16"/>
  <c r="L172" i="16"/>
  <c r="M172" i="16"/>
  <c r="K172" i="16"/>
  <c r="J172" i="16"/>
  <c r="I172" i="16" s="1"/>
  <c r="N172" i="16"/>
  <c r="L171" i="16"/>
  <c r="M171" i="16"/>
  <c r="K171" i="16"/>
  <c r="J171" i="16"/>
  <c r="I171" i="16" s="1"/>
  <c r="N171" i="16"/>
  <c r="L170" i="16"/>
  <c r="M170" i="16"/>
  <c r="J170" i="16"/>
  <c r="H170" i="16" s="1"/>
  <c r="N170" i="16"/>
  <c r="L169" i="16"/>
  <c r="M169" i="16"/>
  <c r="K169" i="16"/>
  <c r="J169" i="16"/>
  <c r="N169" i="16"/>
  <c r="L168" i="16"/>
  <c r="M168" i="16"/>
  <c r="J168" i="16"/>
  <c r="N168" i="16"/>
  <c r="L166" i="16"/>
  <c r="M166" i="16"/>
  <c r="P153" i="16"/>
  <c r="K163" i="16" s="1"/>
  <c r="J166" i="16"/>
  <c r="I166" i="16" s="1"/>
  <c r="N166" i="16"/>
  <c r="L165" i="16"/>
  <c r="M165" i="16"/>
  <c r="J165" i="16"/>
  <c r="H165" i="16" s="1"/>
  <c r="N165" i="16"/>
  <c r="L164" i="16"/>
  <c r="M164" i="16"/>
  <c r="J164" i="16"/>
  <c r="H164" i="16" s="1"/>
  <c r="N164" i="16"/>
  <c r="L163" i="16"/>
  <c r="M163" i="16"/>
  <c r="J163" i="16"/>
  <c r="N163" i="16"/>
  <c r="L162" i="16"/>
  <c r="M162" i="16"/>
  <c r="J162" i="16"/>
  <c r="N162" i="16"/>
  <c r="L161" i="16"/>
  <c r="M161" i="16"/>
  <c r="J161" i="16"/>
  <c r="H161" i="16" s="1"/>
  <c r="N161" i="16"/>
  <c r="L160" i="16"/>
  <c r="M160" i="16"/>
  <c r="J160" i="16"/>
  <c r="H160" i="16" s="1"/>
  <c r="N160" i="16"/>
  <c r="L159" i="16"/>
  <c r="M159" i="16"/>
  <c r="J159" i="16"/>
  <c r="N159" i="16"/>
  <c r="L158" i="16"/>
  <c r="M158" i="16"/>
  <c r="J158" i="16"/>
  <c r="N158" i="16"/>
  <c r="L157" i="16"/>
  <c r="M157" i="16"/>
  <c r="J157" i="16"/>
  <c r="H157" i="16" s="1"/>
  <c r="N157" i="16"/>
  <c r="L156" i="16"/>
  <c r="M156" i="16"/>
  <c r="J156" i="16"/>
  <c r="H156" i="16" s="1"/>
  <c r="N156" i="16"/>
  <c r="L155" i="16"/>
  <c r="M155" i="16"/>
  <c r="K155" i="16"/>
  <c r="J155" i="16"/>
  <c r="N155" i="16"/>
  <c r="L154" i="16"/>
  <c r="M154" i="16"/>
  <c r="K154" i="16"/>
  <c r="J154" i="16"/>
  <c r="I154" i="16" s="1"/>
  <c r="N154" i="16"/>
  <c r="L152" i="16"/>
  <c r="M152" i="16"/>
  <c r="K152" i="16"/>
  <c r="J152" i="16"/>
  <c r="H152" i="16" s="1"/>
  <c r="I152" i="16"/>
  <c r="N152" i="16"/>
  <c r="L151" i="16"/>
  <c r="M151" i="16"/>
  <c r="K151" i="16"/>
  <c r="J151" i="16"/>
  <c r="H151" i="16" s="1"/>
  <c r="N151" i="16"/>
  <c r="L150" i="16"/>
  <c r="M150" i="16"/>
  <c r="K150" i="16"/>
  <c r="J150" i="16"/>
  <c r="N150" i="16"/>
  <c r="L149" i="16"/>
  <c r="M149" i="16"/>
  <c r="K149" i="16"/>
  <c r="J149" i="16"/>
  <c r="I149" i="16" s="1"/>
  <c r="N149" i="16"/>
  <c r="L148" i="16"/>
  <c r="M148" i="16"/>
  <c r="K148" i="16"/>
  <c r="J148" i="16"/>
  <c r="H148" i="16" s="1"/>
  <c r="N148" i="16"/>
  <c r="L147" i="16"/>
  <c r="M147" i="16"/>
  <c r="K147" i="16"/>
  <c r="J147" i="16"/>
  <c r="I147" i="16" s="1"/>
  <c r="N147" i="16"/>
  <c r="L146" i="16"/>
  <c r="M146" i="16"/>
  <c r="K146" i="16"/>
  <c r="J146" i="16"/>
  <c r="N146" i="16"/>
  <c r="L145" i="16"/>
  <c r="M145" i="16"/>
  <c r="K145" i="16"/>
  <c r="J145" i="16"/>
  <c r="I145" i="16" s="1"/>
  <c r="N145" i="16"/>
  <c r="L144" i="16"/>
  <c r="M144" i="16"/>
  <c r="K144" i="16"/>
  <c r="J144" i="16"/>
  <c r="H144" i="16" s="1"/>
  <c r="N144" i="16"/>
  <c r="L143" i="16"/>
  <c r="M143" i="16"/>
  <c r="K143" i="16"/>
  <c r="J143" i="16"/>
  <c r="H143" i="16" s="1"/>
  <c r="N143" i="16"/>
  <c r="L142" i="16"/>
  <c r="M142" i="16"/>
  <c r="K142" i="16"/>
  <c r="J142" i="16"/>
  <c r="N142" i="16"/>
  <c r="L141" i="16"/>
  <c r="M141" i="16"/>
  <c r="P139" i="16"/>
  <c r="K140" i="16" s="1"/>
  <c r="J141" i="16"/>
  <c r="N141" i="16"/>
  <c r="L140" i="16"/>
  <c r="M140" i="16"/>
  <c r="J140" i="16"/>
  <c r="I140" i="16" s="1"/>
  <c r="N140" i="16"/>
  <c r="L138" i="16"/>
  <c r="M138" i="16"/>
  <c r="K138" i="16"/>
  <c r="J138" i="16"/>
  <c r="H138" i="16" s="1"/>
  <c r="N138" i="16"/>
  <c r="L137" i="16"/>
  <c r="M137" i="16"/>
  <c r="K137" i="16"/>
  <c r="J137" i="16"/>
  <c r="I137" i="16" s="1"/>
  <c r="N137" i="16"/>
  <c r="L136" i="16"/>
  <c r="M136" i="16"/>
  <c r="K136" i="16"/>
  <c r="J136" i="16"/>
  <c r="N136" i="16"/>
  <c r="L135" i="16"/>
  <c r="M135" i="16"/>
  <c r="K135" i="16"/>
  <c r="J135" i="16"/>
  <c r="I135" i="16" s="1"/>
  <c r="N135" i="16"/>
  <c r="L134" i="16"/>
  <c r="M134" i="16"/>
  <c r="K134" i="16"/>
  <c r="J134" i="16"/>
  <c r="H134" i="16" s="1"/>
  <c r="I134" i="16"/>
  <c r="N134" i="16"/>
  <c r="L133" i="16"/>
  <c r="M133" i="16"/>
  <c r="K133" i="16"/>
  <c r="J133" i="16"/>
  <c r="H133" i="16" s="1"/>
  <c r="N133" i="16"/>
  <c r="L132" i="16"/>
  <c r="M132" i="16"/>
  <c r="K132" i="16"/>
  <c r="J132" i="16"/>
  <c r="H132" i="16" s="1"/>
  <c r="N132" i="16"/>
  <c r="L131" i="16"/>
  <c r="M131" i="16"/>
  <c r="K131" i="16"/>
  <c r="J131" i="16"/>
  <c r="I131" i="16" s="1"/>
  <c r="N131" i="16"/>
  <c r="L130" i="16"/>
  <c r="M130" i="16"/>
  <c r="K130" i="16"/>
  <c r="J130" i="16"/>
  <c r="I130" i="16" s="1"/>
  <c r="N130" i="16"/>
  <c r="L129" i="16"/>
  <c r="M129" i="16"/>
  <c r="K129" i="16"/>
  <c r="J129" i="16"/>
  <c r="H129" i="16" s="1"/>
  <c r="N129" i="16"/>
  <c r="L128" i="16"/>
  <c r="M128" i="16"/>
  <c r="K128" i="16"/>
  <c r="J128" i="16"/>
  <c r="H128" i="16" s="1"/>
  <c r="N128" i="16"/>
  <c r="L127" i="16"/>
  <c r="M127" i="16"/>
  <c r="K127" i="16"/>
  <c r="J127" i="16"/>
  <c r="I127" i="16" s="1"/>
  <c r="N127" i="16"/>
  <c r="L126" i="16"/>
  <c r="M126" i="16"/>
  <c r="P125" i="16"/>
  <c r="K126" i="16" s="1"/>
  <c r="J126" i="16"/>
  <c r="I126" i="16" s="1"/>
  <c r="N126" i="16"/>
  <c r="L124" i="16"/>
  <c r="M124" i="16"/>
  <c r="P111" i="16"/>
  <c r="K122" i="16" s="1"/>
  <c r="J124" i="16"/>
  <c r="I124" i="16" s="1"/>
  <c r="N124" i="16"/>
  <c r="L123" i="16"/>
  <c r="M123" i="16"/>
  <c r="K123" i="16"/>
  <c r="J123" i="16"/>
  <c r="I123" i="16" s="1"/>
  <c r="N123" i="16"/>
  <c r="L122" i="16"/>
  <c r="M122" i="16"/>
  <c r="J122" i="16"/>
  <c r="H122" i="16" s="1"/>
  <c r="N122" i="16"/>
  <c r="L121" i="16"/>
  <c r="M121" i="16"/>
  <c r="K121" i="16"/>
  <c r="J121" i="16"/>
  <c r="H121" i="16" s="1"/>
  <c r="N121" i="16"/>
  <c r="L120" i="16"/>
  <c r="M120" i="16"/>
  <c r="K120" i="16"/>
  <c r="J120" i="16"/>
  <c r="I120" i="16" s="1"/>
  <c r="N120" i="16"/>
  <c r="L119" i="16"/>
  <c r="M119" i="16"/>
  <c r="J119" i="16"/>
  <c r="H119" i="16" s="1"/>
  <c r="N119" i="16"/>
  <c r="L118" i="16"/>
  <c r="M118" i="16"/>
  <c r="J118" i="16"/>
  <c r="I118" i="16" s="1"/>
  <c r="N118" i="16"/>
  <c r="L117" i="16"/>
  <c r="M117" i="16"/>
  <c r="K117" i="16"/>
  <c r="J117" i="16"/>
  <c r="H117" i="16" s="1"/>
  <c r="N117" i="16"/>
  <c r="L116" i="16"/>
  <c r="M116" i="16"/>
  <c r="K116" i="16"/>
  <c r="J116" i="16"/>
  <c r="I116" i="16" s="1"/>
  <c r="N116" i="16"/>
  <c r="L115" i="16"/>
  <c r="M115" i="16"/>
  <c r="K115" i="16"/>
  <c r="J115" i="16"/>
  <c r="N115" i="16"/>
  <c r="L114" i="16"/>
  <c r="M114" i="16"/>
  <c r="K114" i="16"/>
  <c r="J114" i="16"/>
  <c r="H114" i="16" s="1"/>
  <c r="N114" i="16"/>
  <c r="L113" i="16"/>
  <c r="M113" i="16"/>
  <c r="K113" i="16"/>
  <c r="J113" i="16"/>
  <c r="H113" i="16" s="1"/>
  <c r="N113" i="16"/>
  <c r="L112" i="16"/>
  <c r="M112" i="16"/>
  <c r="K112" i="16"/>
  <c r="J112" i="16"/>
  <c r="N112" i="16"/>
  <c r="L110" i="16"/>
  <c r="M110" i="16"/>
  <c r="P97" i="16"/>
  <c r="K109" i="16" s="1"/>
  <c r="J110" i="16"/>
  <c r="N110" i="16"/>
  <c r="L109" i="16"/>
  <c r="M109" i="16"/>
  <c r="J109" i="16"/>
  <c r="I109" i="16" s="1"/>
  <c r="N109" i="16"/>
  <c r="L108" i="16"/>
  <c r="M108" i="16"/>
  <c r="J108" i="16"/>
  <c r="I108" i="16" s="1"/>
  <c r="N108" i="16"/>
  <c r="L107" i="16"/>
  <c r="M107" i="16"/>
  <c r="J107" i="16"/>
  <c r="H107" i="16" s="1"/>
  <c r="N107" i="16"/>
  <c r="L106" i="16"/>
  <c r="M106" i="16"/>
  <c r="J106" i="16"/>
  <c r="N106" i="16"/>
  <c r="L105" i="16"/>
  <c r="M105" i="16"/>
  <c r="J105" i="16"/>
  <c r="I105" i="16" s="1"/>
  <c r="N105" i="16"/>
  <c r="L104" i="16"/>
  <c r="M104" i="16"/>
  <c r="J104" i="16"/>
  <c r="H104" i="16" s="1"/>
  <c r="N104" i="16"/>
  <c r="L103" i="16"/>
  <c r="M103" i="16"/>
  <c r="J103" i="16"/>
  <c r="H103" i="16" s="1"/>
  <c r="N103" i="16"/>
  <c r="L102" i="16"/>
  <c r="M102" i="16"/>
  <c r="J102" i="16"/>
  <c r="N102" i="16"/>
  <c r="L101" i="16"/>
  <c r="M101" i="16"/>
  <c r="J101" i="16"/>
  <c r="I101" i="16" s="1"/>
  <c r="N101" i="16"/>
  <c r="L100" i="16"/>
  <c r="M100" i="16"/>
  <c r="J100" i="16"/>
  <c r="H100" i="16" s="1"/>
  <c r="N100" i="16"/>
  <c r="L99" i="16"/>
  <c r="M99" i="16"/>
  <c r="J99" i="16"/>
  <c r="H99" i="16" s="1"/>
  <c r="N99" i="16"/>
  <c r="L98" i="16"/>
  <c r="M98" i="16"/>
  <c r="J98" i="16"/>
  <c r="N98" i="16"/>
  <c r="L96" i="16"/>
  <c r="M96" i="16"/>
  <c r="P83" i="16"/>
  <c r="K94" i="16" s="1"/>
  <c r="J96" i="16"/>
  <c r="N96" i="16"/>
  <c r="L95" i="16"/>
  <c r="M95" i="16"/>
  <c r="K95" i="16"/>
  <c r="J95" i="16"/>
  <c r="N95" i="16"/>
  <c r="L94" i="16"/>
  <c r="M94" i="16"/>
  <c r="J94" i="16"/>
  <c r="I94" i="16" s="1"/>
  <c r="N94" i="16"/>
  <c r="L93" i="16"/>
  <c r="M93" i="16"/>
  <c r="J93" i="16"/>
  <c r="H93" i="16" s="1"/>
  <c r="N93" i="16"/>
  <c r="L92" i="16"/>
  <c r="M92" i="16"/>
  <c r="K92" i="16"/>
  <c r="J92" i="16"/>
  <c r="N92" i="16"/>
  <c r="L91" i="16"/>
  <c r="M91" i="16"/>
  <c r="K91" i="16"/>
  <c r="J91" i="16"/>
  <c r="N91" i="16"/>
  <c r="L90" i="16"/>
  <c r="M90" i="16"/>
  <c r="K90" i="16"/>
  <c r="J90" i="16"/>
  <c r="H90" i="16" s="1"/>
  <c r="N90" i="16"/>
  <c r="L89" i="16"/>
  <c r="M89" i="16"/>
  <c r="K89" i="16"/>
  <c r="J89" i="16"/>
  <c r="H89" i="16" s="1"/>
  <c r="N89" i="16"/>
  <c r="L88" i="16"/>
  <c r="M88" i="16"/>
  <c r="K88" i="16"/>
  <c r="J88" i="16"/>
  <c r="N88" i="16"/>
  <c r="L87" i="16"/>
  <c r="M87" i="16"/>
  <c r="K87" i="16"/>
  <c r="J87" i="16"/>
  <c r="N87" i="16"/>
  <c r="L86" i="16"/>
  <c r="M86" i="16"/>
  <c r="K86" i="16"/>
  <c r="J86" i="16"/>
  <c r="H86" i="16" s="1"/>
  <c r="N86" i="16"/>
  <c r="L85" i="16"/>
  <c r="M85" i="16"/>
  <c r="K85" i="16"/>
  <c r="J85" i="16"/>
  <c r="H85" i="16" s="1"/>
  <c r="N85" i="16"/>
  <c r="L84" i="16"/>
  <c r="M84" i="16"/>
  <c r="K84" i="16"/>
  <c r="J84" i="16"/>
  <c r="N84" i="16"/>
  <c r="L82" i="16"/>
  <c r="M82" i="16"/>
  <c r="P69" i="16"/>
  <c r="K82" i="16"/>
  <c r="J82" i="16"/>
  <c r="N82" i="16"/>
  <c r="L81" i="16"/>
  <c r="M81" i="16"/>
  <c r="K81" i="16"/>
  <c r="J81" i="16"/>
  <c r="I81" i="16" s="1"/>
  <c r="N81" i="16"/>
  <c r="L80" i="16"/>
  <c r="M80" i="16"/>
  <c r="K80" i="16"/>
  <c r="J80" i="16"/>
  <c r="I80" i="16" s="1"/>
  <c r="H80" i="16"/>
  <c r="N80" i="16"/>
  <c r="L79" i="16"/>
  <c r="M79" i="16"/>
  <c r="K79" i="16"/>
  <c r="J79" i="16"/>
  <c r="H79" i="16" s="1"/>
  <c r="N79" i="16"/>
  <c r="L78" i="16"/>
  <c r="M78" i="16"/>
  <c r="K78" i="16"/>
  <c r="J78" i="16"/>
  <c r="N78" i="16"/>
  <c r="L77" i="16"/>
  <c r="M77" i="16"/>
  <c r="K77" i="16"/>
  <c r="J77" i="16"/>
  <c r="I77" i="16" s="1"/>
  <c r="N77" i="16"/>
  <c r="L76" i="16"/>
  <c r="M76" i="16"/>
  <c r="K76" i="16"/>
  <c r="J76" i="16"/>
  <c r="H76" i="16" s="1"/>
  <c r="N76" i="16"/>
  <c r="L75" i="16"/>
  <c r="M75" i="16"/>
  <c r="K75" i="16"/>
  <c r="J75" i="16"/>
  <c r="H75" i="16" s="1"/>
  <c r="N75" i="16"/>
  <c r="L74" i="16"/>
  <c r="M74" i="16"/>
  <c r="K74" i="16"/>
  <c r="J74" i="16"/>
  <c r="N74" i="16"/>
  <c r="L73" i="16"/>
  <c r="M73" i="16"/>
  <c r="K73" i="16"/>
  <c r="J73" i="16"/>
  <c r="I73" i="16" s="1"/>
  <c r="N73" i="16"/>
  <c r="L72" i="16"/>
  <c r="M72" i="16"/>
  <c r="K72" i="16"/>
  <c r="J72" i="16"/>
  <c r="H72" i="16" s="1"/>
  <c r="N72" i="16"/>
  <c r="L71" i="16"/>
  <c r="M71" i="16"/>
  <c r="K71" i="16"/>
  <c r="J71" i="16"/>
  <c r="H71" i="16" s="1"/>
  <c r="N71" i="16"/>
  <c r="L70" i="16"/>
  <c r="M70" i="16"/>
  <c r="K70" i="16"/>
  <c r="J70" i="16"/>
  <c r="N70" i="16"/>
  <c r="L68" i="16"/>
  <c r="M68" i="16"/>
  <c r="P55" i="16"/>
  <c r="J68" i="16"/>
  <c r="I68" i="16" s="1"/>
  <c r="N68" i="16"/>
  <c r="L67" i="16"/>
  <c r="M67" i="16"/>
  <c r="J67" i="16"/>
  <c r="H67" i="16" s="1"/>
  <c r="N67" i="16"/>
  <c r="L66" i="16"/>
  <c r="M66" i="16"/>
  <c r="J66" i="16"/>
  <c r="N66" i="16"/>
  <c r="L65" i="16"/>
  <c r="M65" i="16"/>
  <c r="J65" i="16"/>
  <c r="H65" i="16" s="1"/>
  <c r="N65" i="16"/>
  <c r="L64" i="16"/>
  <c r="M64" i="16"/>
  <c r="J64" i="16"/>
  <c r="H64" i="16" s="1"/>
  <c r="N64" i="16"/>
  <c r="L63" i="16"/>
  <c r="M63" i="16"/>
  <c r="J63" i="16"/>
  <c r="H63" i="16" s="1"/>
  <c r="N63" i="16"/>
  <c r="L62" i="16"/>
  <c r="M62" i="16"/>
  <c r="J62" i="16"/>
  <c r="H62" i="16" s="1"/>
  <c r="N62" i="16"/>
  <c r="L61" i="16"/>
  <c r="M61" i="16"/>
  <c r="J61" i="16"/>
  <c r="H61" i="16" s="1"/>
  <c r="N61" i="16"/>
  <c r="L60" i="16"/>
  <c r="M60" i="16"/>
  <c r="J60" i="16"/>
  <c r="I60" i="16" s="1"/>
  <c r="N60" i="16"/>
  <c r="L59" i="16"/>
  <c r="M59" i="16"/>
  <c r="J59" i="16"/>
  <c r="I59" i="16" s="1"/>
  <c r="N59" i="16"/>
  <c r="L58" i="16"/>
  <c r="M58" i="16"/>
  <c r="J58" i="16"/>
  <c r="H58" i="16" s="1"/>
  <c r="N58" i="16"/>
  <c r="L57" i="16"/>
  <c r="M57" i="16"/>
  <c r="J57" i="16"/>
  <c r="H57" i="16" s="1"/>
  <c r="N57" i="16"/>
  <c r="L56" i="16"/>
  <c r="M56" i="16"/>
  <c r="J56" i="16"/>
  <c r="H56" i="16" s="1"/>
  <c r="N56" i="16"/>
  <c r="L54" i="16"/>
  <c r="M54" i="16"/>
  <c r="P41" i="16"/>
  <c r="J54" i="16"/>
  <c r="N54" i="16"/>
  <c r="L53" i="16"/>
  <c r="M53" i="16"/>
  <c r="J53" i="16"/>
  <c r="H53" i="16" s="1"/>
  <c r="N53" i="16"/>
  <c r="L52" i="16"/>
  <c r="M52" i="16"/>
  <c r="J52" i="16"/>
  <c r="I52" i="16" s="1"/>
  <c r="N52" i="16"/>
  <c r="L51" i="16"/>
  <c r="M51" i="16"/>
  <c r="J51" i="16"/>
  <c r="H51" i="16" s="1"/>
  <c r="N51" i="16"/>
  <c r="L50" i="16"/>
  <c r="M50" i="16"/>
  <c r="J50" i="16"/>
  <c r="I50" i="16" s="1"/>
  <c r="N50" i="16"/>
  <c r="L49" i="16"/>
  <c r="M49" i="16"/>
  <c r="J49" i="16"/>
  <c r="H49" i="16" s="1"/>
  <c r="N49" i="16"/>
  <c r="L48" i="16"/>
  <c r="M48" i="16"/>
  <c r="J48" i="16"/>
  <c r="N48" i="16"/>
  <c r="L47" i="16"/>
  <c r="M47" i="16"/>
  <c r="J47" i="16"/>
  <c r="H47" i="16" s="1"/>
  <c r="N47" i="16"/>
  <c r="L46" i="16"/>
  <c r="M46" i="16"/>
  <c r="J46" i="16"/>
  <c r="I46" i="16" s="1"/>
  <c r="N46" i="16"/>
  <c r="L45" i="16"/>
  <c r="M45" i="16"/>
  <c r="J45" i="16"/>
  <c r="N45" i="16"/>
  <c r="L44" i="16"/>
  <c r="M44" i="16"/>
  <c r="J44" i="16"/>
  <c r="H44" i="16" s="1"/>
  <c r="N44" i="16"/>
  <c r="L43" i="16"/>
  <c r="M43" i="16"/>
  <c r="J43" i="16"/>
  <c r="H43" i="16" s="1"/>
  <c r="N43" i="16"/>
  <c r="L42" i="16"/>
  <c r="M42" i="16"/>
  <c r="J42" i="16"/>
  <c r="I42" i="16" s="1"/>
  <c r="N42" i="16"/>
  <c r="L19" i="16"/>
  <c r="M19" i="16"/>
  <c r="P6" i="16"/>
  <c r="J19" i="16"/>
  <c r="H19" i="16" s="1"/>
  <c r="N19" i="16"/>
  <c r="L18" i="16"/>
  <c r="M18" i="16"/>
  <c r="J18" i="16"/>
  <c r="H18" i="16" s="1"/>
  <c r="N18" i="16"/>
  <c r="L17" i="16"/>
  <c r="M17" i="16"/>
  <c r="J17" i="16"/>
  <c r="I17" i="16" s="1"/>
  <c r="N17" i="16"/>
  <c r="L16" i="16"/>
  <c r="M16" i="16"/>
  <c r="G16" i="16" s="1"/>
  <c r="J16" i="16"/>
  <c r="I16" i="16" s="1"/>
  <c r="N16" i="16"/>
  <c r="L15" i="16"/>
  <c r="M15" i="16"/>
  <c r="J15" i="16"/>
  <c r="H15" i="16" s="1"/>
  <c r="N15" i="16"/>
  <c r="L14" i="16"/>
  <c r="M14" i="16"/>
  <c r="J14" i="16"/>
  <c r="I14" i="16" s="1"/>
  <c r="N14" i="16"/>
  <c r="L13" i="16"/>
  <c r="M13" i="16"/>
  <c r="J13" i="16"/>
  <c r="H13" i="16" s="1"/>
  <c r="N13" i="16"/>
  <c r="L12" i="16"/>
  <c r="M12" i="16"/>
  <c r="J12" i="16"/>
  <c r="H12" i="16" s="1"/>
  <c r="N12" i="16"/>
  <c r="L11" i="16"/>
  <c r="M11" i="16"/>
  <c r="J11" i="16"/>
  <c r="H11" i="16" s="1"/>
  <c r="N11" i="16"/>
  <c r="L10" i="16"/>
  <c r="M10" i="16"/>
  <c r="J10" i="16"/>
  <c r="N10" i="16"/>
  <c r="L9" i="16"/>
  <c r="M9" i="16"/>
  <c r="J9" i="16"/>
  <c r="N9" i="16"/>
  <c r="L8" i="16"/>
  <c r="M8" i="16"/>
  <c r="J8" i="16"/>
  <c r="H8" i="16" s="1"/>
  <c r="N8" i="16"/>
  <c r="L7" i="16"/>
  <c r="J7" i="16"/>
  <c r="I7" i="16" s="1"/>
  <c r="N7" i="16"/>
  <c r="P174" i="7"/>
  <c r="W207" i="5"/>
  <c r="K157" i="5"/>
  <c r="K156" i="5"/>
  <c r="K155" i="5"/>
  <c r="K154" i="5"/>
  <c r="R158" i="5"/>
  <c r="K158" i="5"/>
  <c r="K131" i="5"/>
  <c r="K130" i="5"/>
  <c r="K129" i="5"/>
  <c r="K128" i="5"/>
  <c r="K127" i="5"/>
  <c r="K122" i="5"/>
  <c r="K100" i="5"/>
  <c r="M100" i="5"/>
  <c r="J100" i="5"/>
  <c r="H100" i="5" s="1"/>
  <c r="R100" i="5"/>
  <c r="M122" i="5"/>
  <c r="J122" i="5"/>
  <c r="H122" i="5" s="1"/>
  <c r="M121" i="5"/>
  <c r="J121" i="5"/>
  <c r="I121" i="5" s="1"/>
  <c r="M117" i="5"/>
  <c r="J117" i="5"/>
  <c r="I117" i="5" s="1"/>
  <c r="M111" i="5"/>
  <c r="J111" i="5"/>
  <c r="I111" i="5" s="1"/>
  <c r="M233" i="5"/>
  <c r="J233" i="5"/>
  <c r="I233" i="5" s="1"/>
  <c r="L233" i="5"/>
  <c r="M232" i="5"/>
  <c r="J232" i="5"/>
  <c r="H232" i="5" s="1"/>
  <c r="L232" i="5"/>
  <c r="K203" i="5"/>
  <c r="K204" i="5"/>
  <c r="K205" i="5"/>
  <c r="K206" i="5"/>
  <c r="K207" i="5"/>
  <c r="K208" i="5"/>
  <c r="K209" i="5"/>
  <c r="K210" i="5"/>
  <c r="R210" i="5"/>
  <c r="R209" i="5"/>
  <c r="R208" i="5"/>
  <c r="R207" i="5"/>
  <c r="R206" i="5"/>
  <c r="R205" i="5"/>
  <c r="R204" i="5"/>
  <c r="R203" i="5"/>
  <c r="L210" i="5"/>
  <c r="M210" i="5"/>
  <c r="J210" i="5"/>
  <c r="H210" i="5" s="1"/>
  <c r="N210" i="5"/>
  <c r="L209" i="5"/>
  <c r="M209" i="5"/>
  <c r="J209" i="5"/>
  <c r="H209" i="5" s="1"/>
  <c r="N209" i="5"/>
  <c r="L208" i="5"/>
  <c r="M208" i="5"/>
  <c r="J208" i="5"/>
  <c r="H208" i="5" s="1"/>
  <c r="N208" i="5"/>
  <c r="L207" i="5"/>
  <c r="M207" i="5"/>
  <c r="J207" i="5"/>
  <c r="H207" i="5" s="1"/>
  <c r="N207" i="5"/>
  <c r="L206" i="5"/>
  <c r="M206" i="5"/>
  <c r="J206" i="5"/>
  <c r="H206" i="5" s="1"/>
  <c r="N206" i="5"/>
  <c r="L205" i="5"/>
  <c r="M205" i="5"/>
  <c r="J205" i="5"/>
  <c r="H205" i="5" s="1"/>
  <c r="N205" i="5"/>
  <c r="L204" i="5"/>
  <c r="M204" i="5"/>
  <c r="J204" i="5"/>
  <c r="H204" i="5" s="1"/>
  <c r="N204" i="5"/>
  <c r="L203" i="5"/>
  <c r="M203" i="5"/>
  <c r="J203" i="5"/>
  <c r="H203" i="5" s="1"/>
  <c r="N203" i="5"/>
  <c r="L122" i="5"/>
  <c r="R122" i="5"/>
  <c r="K121" i="5"/>
  <c r="L121" i="5"/>
  <c r="R121" i="5"/>
  <c r="M120" i="5"/>
  <c r="J120" i="5"/>
  <c r="I120" i="5" s="1"/>
  <c r="P118" i="5"/>
  <c r="K120" i="5" s="1"/>
  <c r="L120" i="5"/>
  <c r="R120" i="5"/>
  <c r="K117" i="5"/>
  <c r="L117" i="5"/>
  <c r="R117" i="5"/>
  <c r="M116" i="5"/>
  <c r="J116" i="5"/>
  <c r="I116" i="5" s="1"/>
  <c r="K116" i="5"/>
  <c r="L116" i="5"/>
  <c r="R116" i="5"/>
  <c r="M115" i="5"/>
  <c r="J115" i="5"/>
  <c r="H115" i="5" s="1"/>
  <c r="K115" i="5"/>
  <c r="L115" i="5"/>
  <c r="R115" i="5"/>
  <c r="M114" i="5"/>
  <c r="J114" i="5"/>
  <c r="H114" i="5" s="1"/>
  <c r="K114" i="5"/>
  <c r="L114" i="5"/>
  <c r="R114" i="5"/>
  <c r="M112" i="5"/>
  <c r="J112" i="5"/>
  <c r="I112" i="5" s="1"/>
  <c r="K112" i="5"/>
  <c r="L112" i="5"/>
  <c r="R112" i="5"/>
  <c r="K111" i="5"/>
  <c r="L111" i="5"/>
  <c r="R111" i="5"/>
  <c r="M267" i="5"/>
  <c r="J267" i="5"/>
  <c r="I267" i="5" s="1"/>
  <c r="K267" i="5"/>
  <c r="L267" i="5"/>
  <c r="M266" i="5"/>
  <c r="J266" i="5"/>
  <c r="I266" i="5" s="1"/>
  <c r="K266" i="5"/>
  <c r="L266" i="5"/>
  <c r="M265" i="5"/>
  <c r="J265" i="5"/>
  <c r="I265" i="5" s="1"/>
  <c r="K265" i="5"/>
  <c r="L265" i="5"/>
  <c r="M264" i="5"/>
  <c r="J264" i="5"/>
  <c r="I264" i="5" s="1"/>
  <c r="K264" i="5"/>
  <c r="L264" i="5"/>
  <c r="M263" i="5"/>
  <c r="J263" i="5"/>
  <c r="I263" i="5" s="1"/>
  <c r="K263" i="5"/>
  <c r="L263" i="5"/>
  <c r="M262" i="5"/>
  <c r="J262" i="5"/>
  <c r="I262" i="5" s="1"/>
  <c r="K262" i="5"/>
  <c r="L262" i="5"/>
  <c r="M261" i="5"/>
  <c r="J261" i="5"/>
  <c r="I261" i="5" s="1"/>
  <c r="K261" i="5"/>
  <c r="L261" i="5"/>
  <c r="M260" i="5"/>
  <c r="J260" i="5"/>
  <c r="H260" i="5" s="1"/>
  <c r="K260" i="5"/>
  <c r="L260" i="5"/>
  <c r="M259" i="5"/>
  <c r="J259" i="5"/>
  <c r="I259" i="5" s="1"/>
  <c r="K259" i="5"/>
  <c r="L259" i="5"/>
  <c r="M258" i="5"/>
  <c r="J258" i="5"/>
  <c r="I258" i="5" s="1"/>
  <c r="K258" i="5"/>
  <c r="L258" i="5"/>
  <c r="M257" i="5"/>
  <c r="J257" i="5"/>
  <c r="I257" i="5" s="1"/>
  <c r="K257" i="5"/>
  <c r="L257" i="5"/>
  <c r="M256" i="5"/>
  <c r="J256" i="5"/>
  <c r="I256" i="5" s="1"/>
  <c r="K256" i="5"/>
  <c r="L256" i="5"/>
  <c r="M255" i="5"/>
  <c r="J255" i="5"/>
  <c r="I255" i="5" s="1"/>
  <c r="K255" i="5"/>
  <c r="L255" i="5"/>
  <c r="M217" i="5"/>
  <c r="J217" i="5"/>
  <c r="H217" i="5" s="1"/>
  <c r="L217" i="5"/>
  <c r="M216" i="5"/>
  <c r="J216" i="5"/>
  <c r="H216" i="5" s="1"/>
  <c r="L216" i="5"/>
  <c r="M215" i="5"/>
  <c r="J215" i="5"/>
  <c r="H215" i="5" s="1"/>
  <c r="L215" i="5"/>
  <c r="M214" i="5"/>
  <c r="J214" i="5"/>
  <c r="I214" i="5" s="1"/>
  <c r="L214" i="5"/>
  <c r="M213" i="5"/>
  <c r="J213" i="5"/>
  <c r="H213" i="5" s="1"/>
  <c r="L213" i="5"/>
  <c r="M212" i="5"/>
  <c r="J212" i="5"/>
  <c r="H212" i="5" s="1"/>
  <c r="L212" i="5"/>
  <c r="M211" i="5"/>
  <c r="J211" i="5"/>
  <c r="H211" i="5" s="1"/>
  <c r="L211" i="5"/>
  <c r="M113" i="5"/>
  <c r="J113" i="5"/>
  <c r="H113" i="5" s="1"/>
  <c r="K113" i="5"/>
  <c r="L113" i="5"/>
  <c r="R113" i="5"/>
  <c r="M110" i="5"/>
  <c r="J110" i="5"/>
  <c r="H110" i="5" s="1"/>
  <c r="K110" i="5"/>
  <c r="L110" i="5"/>
  <c r="R110" i="5"/>
  <c r="M109" i="5"/>
  <c r="J109" i="5"/>
  <c r="H109" i="5" s="1"/>
  <c r="K109" i="5"/>
  <c r="L109" i="5"/>
  <c r="R109" i="5"/>
  <c r="M108" i="5"/>
  <c r="J108" i="5"/>
  <c r="I108" i="5" s="1"/>
  <c r="K108" i="5"/>
  <c r="L108" i="5"/>
  <c r="R108" i="5"/>
  <c r="M107" i="5"/>
  <c r="J107" i="5"/>
  <c r="H107" i="5" s="1"/>
  <c r="K107" i="5"/>
  <c r="L107" i="5"/>
  <c r="R107" i="5"/>
  <c r="M106" i="5"/>
  <c r="J106" i="5"/>
  <c r="H106" i="5" s="1"/>
  <c r="K106" i="5"/>
  <c r="L106" i="5"/>
  <c r="R106" i="5"/>
  <c r="M194" i="5"/>
  <c r="J194" i="5"/>
  <c r="H194" i="5" s="1"/>
  <c r="K194" i="5"/>
  <c r="L194" i="5"/>
  <c r="R194" i="5"/>
  <c r="M193" i="5"/>
  <c r="J193" i="5"/>
  <c r="I193" i="5" s="1"/>
  <c r="K193" i="5"/>
  <c r="L193" i="5"/>
  <c r="R193" i="5"/>
  <c r="M192" i="5"/>
  <c r="J192" i="5"/>
  <c r="H192" i="5" s="1"/>
  <c r="K192" i="5"/>
  <c r="L192" i="5"/>
  <c r="R192" i="5"/>
  <c r="M191" i="5"/>
  <c r="J191" i="5"/>
  <c r="H191" i="5" s="1"/>
  <c r="K191" i="5"/>
  <c r="L191" i="5"/>
  <c r="R191" i="5"/>
  <c r="M190" i="5"/>
  <c r="J190" i="5"/>
  <c r="K190" i="5"/>
  <c r="L190" i="5"/>
  <c r="R190" i="5"/>
  <c r="M189" i="5"/>
  <c r="J189" i="5"/>
  <c r="H189" i="5" s="1"/>
  <c r="K189" i="5"/>
  <c r="L189" i="5"/>
  <c r="R189" i="5"/>
  <c r="M197" i="5"/>
  <c r="J197" i="5"/>
  <c r="H197" i="5" s="1"/>
  <c r="K197" i="5"/>
  <c r="L197" i="5"/>
  <c r="R197" i="5"/>
  <c r="M196" i="5"/>
  <c r="J196" i="5"/>
  <c r="K196" i="5"/>
  <c r="L196" i="5"/>
  <c r="R196" i="5"/>
  <c r="M195" i="5"/>
  <c r="J195" i="5"/>
  <c r="H195" i="5" s="1"/>
  <c r="K195" i="5"/>
  <c r="L195" i="5"/>
  <c r="R195" i="5"/>
  <c r="X273" i="5"/>
  <c r="Y273" i="5" s="1"/>
  <c r="X274" i="5"/>
  <c r="Y274" i="5" s="1"/>
  <c r="X275" i="5"/>
  <c r="Y275" i="5" s="1"/>
  <c r="X276" i="5"/>
  <c r="Y276" i="5" s="1"/>
  <c r="X277" i="5"/>
  <c r="Y277" i="5" s="1"/>
  <c r="X278" i="5"/>
  <c r="Y278" i="5" s="1"/>
  <c r="X279" i="5"/>
  <c r="Y279" i="5" s="1"/>
  <c r="X280" i="5"/>
  <c r="Y280" i="5" s="1"/>
  <c r="X281" i="5"/>
  <c r="Y281" i="5" s="1"/>
  <c r="X282" i="5"/>
  <c r="Y282" i="5" s="1"/>
  <c r="X283" i="5"/>
  <c r="Y283" i="5" s="1"/>
  <c r="X284" i="5"/>
  <c r="Y284" i="5" s="1"/>
  <c r="X272" i="5"/>
  <c r="Y272" i="5" s="1"/>
  <c r="C303" i="5"/>
  <c r="C304" i="5"/>
  <c r="C305" i="5"/>
  <c r="C306" i="5"/>
  <c r="C307" i="5"/>
  <c r="C308" i="5"/>
  <c r="C309" i="5"/>
  <c r="C310" i="5"/>
  <c r="C311" i="5"/>
  <c r="C312" i="5"/>
  <c r="C313" i="5"/>
  <c r="D320" i="5"/>
  <c r="D321" i="5"/>
  <c r="E321" i="5" s="1"/>
  <c r="D322" i="5"/>
  <c r="E322" i="5" s="1"/>
  <c r="D323" i="5"/>
  <c r="E323" i="5" s="1"/>
  <c r="D324" i="5"/>
  <c r="D325" i="5"/>
  <c r="E325" i="5" s="1"/>
  <c r="D326" i="5"/>
  <c r="E326" i="5" s="1"/>
  <c r="D327" i="5"/>
  <c r="D328" i="5"/>
  <c r="D329" i="5"/>
  <c r="E329" i="5" s="1"/>
  <c r="D330" i="5"/>
  <c r="N321" i="5"/>
  <c r="O321" i="5" s="1"/>
  <c r="N322" i="5"/>
  <c r="O322" i="5" s="1"/>
  <c r="N323" i="5"/>
  <c r="O323" i="5" s="1"/>
  <c r="N324" i="5"/>
  <c r="O324" i="5" s="1"/>
  <c r="N325" i="5"/>
  <c r="O325" i="5" s="1"/>
  <c r="N326" i="5"/>
  <c r="O326" i="5" s="1"/>
  <c r="N327" i="5"/>
  <c r="O327" i="5" s="1"/>
  <c r="N328" i="5"/>
  <c r="O328" i="5" s="1"/>
  <c r="N329" i="5"/>
  <c r="O329" i="5" s="1"/>
  <c r="N330" i="5"/>
  <c r="O330" i="5" s="1"/>
  <c r="N320" i="5"/>
  <c r="O320" i="5" s="1"/>
  <c r="J298" i="5"/>
  <c r="N298" i="5" s="1"/>
  <c r="J299" i="5"/>
  <c r="N299" i="5" s="1"/>
  <c r="J300" i="5"/>
  <c r="N300" i="5" s="1"/>
  <c r="J301" i="5"/>
  <c r="N301" i="5" s="1"/>
  <c r="J302" i="5"/>
  <c r="N302" i="5" s="1"/>
  <c r="J303" i="5"/>
  <c r="N303" i="5" s="1"/>
  <c r="J304" i="5"/>
  <c r="N304" i="5" s="1"/>
  <c r="J305" i="5"/>
  <c r="N305" i="5" s="1"/>
  <c r="J306" i="5"/>
  <c r="N306" i="5" s="1"/>
  <c r="J307" i="5"/>
  <c r="N307" i="5" s="1"/>
  <c r="J308" i="5"/>
  <c r="N308" i="5" s="1"/>
  <c r="J309" i="5"/>
  <c r="N309" i="5" s="1"/>
  <c r="J310" i="5"/>
  <c r="N310" i="5" s="1"/>
  <c r="J311" i="5"/>
  <c r="N311" i="5" s="1"/>
  <c r="J312" i="5"/>
  <c r="N312" i="5" s="1"/>
  <c r="J313" i="5"/>
  <c r="N313" i="5" s="1"/>
  <c r="J314" i="5"/>
  <c r="N314" i="5" s="1"/>
  <c r="J315" i="5"/>
  <c r="N315" i="5" s="1"/>
  <c r="J297" i="5"/>
  <c r="N297" i="5" s="1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36" i="5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23" i="5"/>
  <c r="X223" i="5" s="1"/>
  <c r="M321" i="5"/>
  <c r="M322" i="5"/>
  <c r="M323" i="5"/>
  <c r="M324" i="5"/>
  <c r="M325" i="5"/>
  <c r="M326" i="5"/>
  <c r="M327" i="5"/>
  <c r="M328" i="5"/>
  <c r="M329" i="5"/>
  <c r="M330" i="5"/>
  <c r="M320" i="5"/>
  <c r="L321" i="5"/>
  <c r="L322" i="5"/>
  <c r="L323" i="5"/>
  <c r="L324" i="5"/>
  <c r="L325" i="5"/>
  <c r="L326" i="5"/>
  <c r="L327" i="5"/>
  <c r="L328" i="5"/>
  <c r="L329" i="5"/>
  <c r="L330" i="5"/>
  <c r="L320" i="5"/>
  <c r="F321" i="5"/>
  <c r="F322" i="5"/>
  <c r="F323" i="5"/>
  <c r="F324" i="5"/>
  <c r="F325" i="5"/>
  <c r="F326" i="5"/>
  <c r="F327" i="5"/>
  <c r="F328" i="5"/>
  <c r="F329" i="5"/>
  <c r="F330" i="5"/>
  <c r="F320" i="5"/>
  <c r="G321" i="5"/>
  <c r="G322" i="5"/>
  <c r="G323" i="5"/>
  <c r="G324" i="5"/>
  <c r="G325" i="5"/>
  <c r="G326" i="5"/>
  <c r="G327" i="5"/>
  <c r="G328" i="5"/>
  <c r="G329" i="5"/>
  <c r="G330" i="5"/>
  <c r="G320" i="5"/>
  <c r="W221" i="5"/>
  <c r="W220" i="5"/>
  <c r="W219" i="5"/>
  <c r="W218" i="5"/>
  <c r="L254" i="5"/>
  <c r="M254" i="5"/>
  <c r="J254" i="5"/>
  <c r="I254" i="5" s="1"/>
  <c r="N254" i="5"/>
  <c r="L253" i="5"/>
  <c r="M253" i="5"/>
  <c r="J253" i="5"/>
  <c r="H253" i="5" s="1"/>
  <c r="N253" i="5"/>
  <c r="L252" i="5"/>
  <c r="M252" i="5"/>
  <c r="J252" i="5"/>
  <c r="I252" i="5" s="1"/>
  <c r="N252" i="5"/>
  <c r="L251" i="5"/>
  <c r="M251" i="5"/>
  <c r="J251" i="5"/>
  <c r="H251" i="5" s="1"/>
  <c r="N251" i="5"/>
  <c r="L250" i="5"/>
  <c r="M250" i="5"/>
  <c r="J250" i="5"/>
  <c r="I250" i="5" s="1"/>
  <c r="N250" i="5"/>
  <c r="L249" i="5"/>
  <c r="M249" i="5"/>
  <c r="J249" i="5"/>
  <c r="H249" i="5" s="1"/>
  <c r="N249" i="5"/>
  <c r="L248" i="5"/>
  <c r="M248" i="5"/>
  <c r="J248" i="5"/>
  <c r="I248" i="5" s="1"/>
  <c r="N248" i="5"/>
  <c r="L247" i="5"/>
  <c r="M247" i="5"/>
  <c r="J247" i="5"/>
  <c r="H247" i="5" s="1"/>
  <c r="N247" i="5"/>
  <c r="L246" i="5"/>
  <c r="M246" i="5"/>
  <c r="J246" i="5"/>
  <c r="I246" i="5" s="1"/>
  <c r="N246" i="5"/>
  <c r="L245" i="5"/>
  <c r="M245" i="5"/>
  <c r="J245" i="5"/>
  <c r="H245" i="5" s="1"/>
  <c r="N245" i="5"/>
  <c r="L244" i="5"/>
  <c r="M244" i="5"/>
  <c r="J244" i="5"/>
  <c r="I244" i="5" s="1"/>
  <c r="N244" i="5"/>
  <c r="L243" i="5"/>
  <c r="M243" i="5"/>
  <c r="J243" i="5"/>
  <c r="H243" i="5" s="1"/>
  <c r="N243" i="5"/>
  <c r="L242" i="5"/>
  <c r="M242" i="5"/>
  <c r="J242" i="5"/>
  <c r="I242" i="5" s="1"/>
  <c r="N242" i="5"/>
  <c r="L241" i="5"/>
  <c r="M241" i="5"/>
  <c r="J241" i="5"/>
  <c r="H241" i="5" s="1"/>
  <c r="N241" i="5"/>
  <c r="N255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297" i="5"/>
  <c r="K202" i="5"/>
  <c r="R202" i="5"/>
  <c r="R201" i="5"/>
  <c r="R200" i="5"/>
  <c r="K200" i="5"/>
  <c r="L202" i="5"/>
  <c r="M202" i="5"/>
  <c r="J202" i="5"/>
  <c r="H202" i="5" s="1"/>
  <c r="N202" i="5"/>
  <c r="L201" i="5"/>
  <c r="M201" i="5"/>
  <c r="K201" i="5"/>
  <c r="J201" i="5"/>
  <c r="I201" i="5" s="1"/>
  <c r="N201" i="5"/>
  <c r="L200" i="5"/>
  <c r="M200" i="5"/>
  <c r="J200" i="5"/>
  <c r="I200" i="5" s="1"/>
  <c r="N200" i="5"/>
  <c r="W201" i="5"/>
  <c r="R199" i="5"/>
  <c r="J323" i="5"/>
  <c r="H323" i="5"/>
  <c r="J324" i="5"/>
  <c r="H324" i="5"/>
  <c r="J325" i="5"/>
  <c r="H325" i="5"/>
  <c r="J326" i="5"/>
  <c r="H326" i="5"/>
  <c r="J327" i="5"/>
  <c r="H327" i="5"/>
  <c r="J328" i="5"/>
  <c r="H328" i="5"/>
  <c r="J329" i="5"/>
  <c r="H329" i="5"/>
  <c r="J330" i="5"/>
  <c r="H330" i="5"/>
  <c r="J321" i="5"/>
  <c r="H321" i="5"/>
  <c r="J320" i="5"/>
  <c r="H320" i="5"/>
  <c r="C7" i="7"/>
  <c r="P90" i="7"/>
  <c r="K98" i="7"/>
  <c r="J322" i="5"/>
  <c r="H322" i="5"/>
  <c r="J278" i="5"/>
  <c r="H278" i="5" s="1"/>
  <c r="M278" i="5"/>
  <c r="L278" i="5"/>
  <c r="P6" i="5"/>
  <c r="K7" i="5" s="1"/>
  <c r="G7" i="5" s="1"/>
  <c r="F7" i="5" s="1"/>
  <c r="E7" i="5" s="1"/>
  <c r="D7" i="5" s="1"/>
  <c r="R7" i="5"/>
  <c r="M21" i="5"/>
  <c r="J21" i="5"/>
  <c r="I21" i="5" s="1"/>
  <c r="P20" i="5"/>
  <c r="K21" i="5" s="1"/>
  <c r="L21" i="5"/>
  <c r="R21" i="5"/>
  <c r="M36" i="5"/>
  <c r="J36" i="5"/>
  <c r="H36" i="5" s="1"/>
  <c r="P34" i="5"/>
  <c r="K36" i="5" s="1"/>
  <c r="L36" i="5"/>
  <c r="R36" i="5"/>
  <c r="M51" i="5"/>
  <c r="J51" i="5"/>
  <c r="H51" i="5" s="1"/>
  <c r="K51" i="5"/>
  <c r="L51" i="5"/>
  <c r="R51" i="5"/>
  <c r="M63" i="5"/>
  <c r="J63" i="5"/>
  <c r="P62" i="5"/>
  <c r="K63" i="5" s="1"/>
  <c r="L63" i="5"/>
  <c r="R63" i="5"/>
  <c r="M80" i="5"/>
  <c r="J80" i="5"/>
  <c r="I80" i="5" s="1"/>
  <c r="P76" i="5"/>
  <c r="K84" i="5" s="1"/>
  <c r="L80" i="5"/>
  <c r="R80" i="5"/>
  <c r="M84" i="5"/>
  <c r="J84" i="5"/>
  <c r="I84" i="5" s="1"/>
  <c r="L84" i="5"/>
  <c r="M92" i="5"/>
  <c r="J92" i="5"/>
  <c r="I92" i="5" s="1"/>
  <c r="P90" i="5"/>
  <c r="K99" i="5" s="1"/>
  <c r="L92" i="5"/>
  <c r="R92" i="5"/>
  <c r="M95" i="5"/>
  <c r="J95" i="5"/>
  <c r="H95" i="5" s="1"/>
  <c r="L95" i="5"/>
  <c r="R95" i="5"/>
  <c r="M98" i="5"/>
  <c r="J98" i="5"/>
  <c r="L98" i="5"/>
  <c r="R98" i="5"/>
  <c r="M99" i="5"/>
  <c r="J99" i="5"/>
  <c r="I99" i="5" s="1"/>
  <c r="L99" i="5"/>
  <c r="R99" i="5"/>
  <c r="M105" i="5"/>
  <c r="J105" i="5"/>
  <c r="I105" i="5" s="1"/>
  <c r="P104" i="5"/>
  <c r="K105" i="5" s="1"/>
  <c r="L105" i="5"/>
  <c r="R105" i="5"/>
  <c r="M123" i="5"/>
  <c r="J123" i="5"/>
  <c r="H123" i="5" s="1"/>
  <c r="K123" i="5"/>
  <c r="L123" i="5"/>
  <c r="R123" i="5"/>
  <c r="M124" i="5"/>
  <c r="J124" i="5"/>
  <c r="H124" i="5" s="1"/>
  <c r="K124" i="5"/>
  <c r="L124" i="5"/>
  <c r="R124" i="5"/>
  <c r="M125" i="5"/>
  <c r="J125" i="5"/>
  <c r="H125" i="5" s="1"/>
  <c r="K125" i="5"/>
  <c r="L125" i="5"/>
  <c r="R125" i="5"/>
  <c r="M126" i="5"/>
  <c r="J126" i="5"/>
  <c r="I126" i="5" s="1"/>
  <c r="K126" i="5"/>
  <c r="L126" i="5"/>
  <c r="R126" i="5"/>
  <c r="M127" i="5"/>
  <c r="J127" i="5"/>
  <c r="H127" i="5" s="1"/>
  <c r="L127" i="5"/>
  <c r="R127" i="5"/>
  <c r="M128" i="5"/>
  <c r="J128" i="5"/>
  <c r="H128" i="5" s="1"/>
  <c r="L128" i="5"/>
  <c r="R128" i="5"/>
  <c r="M129" i="5"/>
  <c r="J129" i="5"/>
  <c r="I129" i="5" s="1"/>
  <c r="L129" i="5"/>
  <c r="R129" i="5"/>
  <c r="M130" i="5"/>
  <c r="J130" i="5"/>
  <c r="H130" i="5" s="1"/>
  <c r="L130" i="5"/>
  <c r="R130" i="5"/>
  <c r="M131" i="5"/>
  <c r="J131" i="5"/>
  <c r="H131" i="5" s="1"/>
  <c r="L131" i="5"/>
  <c r="R131" i="5"/>
  <c r="M135" i="5"/>
  <c r="J135" i="5"/>
  <c r="H135" i="5" s="1"/>
  <c r="P132" i="5"/>
  <c r="K135" i="5" s="1"/>
  <c r="L135" i="5"/>
  <c r="R135" i="5"/>
  <c r="M147" i="5"/>
  <c r="J147" i="5"/>
  <c r="H147" i="5" s="1"/>
  <c r="P146" i="5"/>
  <c r="K148" i="5" s="1"/>
  <c r="L147" i="5"/>
  <c r="R147" i="5"/>
  <c r="M148" i="5"/>
  <c r="J148" i="5"/>
  <c r="H148" i="5" s="1"/>
  <c r="L148" i="5"/>
  <c r="R148" i="5"/>
  <c r="M149" i="5"/>
  <c r="J149" i="5"/>
  <c r="H149" i="5" s="1"/>
  <c r="L149" i="5"/>
  <c r="R149" i="5"/>
  <c r="M150" i="5"/>
  <c r="J150" i="5"/>
  <c r="I150" i="5" s="1"/>
  <c r="L150" i="5"/>
  <c r="R150" i="5"/>
  <c r="M151" i="5"/>
  <c r="J151" i="5"/>
  <c r="H151" i="5" s="1"/>
  <c r="K151" i="5"/>
  <c r="L151" i="5"/>
  <c r="R151" i="5"/>
  <c r="M152" i="5"/>
  <c r="J152" i="5"/>
  <c r="H152" i="5" s="1"/>
  <c r="K152" i="5"/>
  <c r="L152" i="5"/>
  <c r="R152" i="5"/>
  <c r="M153" i="5"/>
  <c r="J153" i="5"/>
  <c r="I153" i="5" s="1"/>
  <c r="K153" i="5"/>
  <c r="L153" i="5"/>
  <c r="R153" i="5"/>
  <c r="M154" i="5"/>
  <c r="J154" i="5"/>
  <c r="I154" i="5" s="1"/>
  <c r="L154" i="5"/>
  <c r="R154" i="5"/>
  <c r="M155" i="5"/>
  <c r="J155" i="5"/>
  <c r="I155" i="5" s="1"/>
  <c r="L155" i="5"/>
  <c r="R155" i="5"/>
  <c r="M156" i="5"/>
  <c r="J156" i="5"/>
  <c r="I156" i="5" s="1"/>
  <c r="L156" i="5"/>
  <c r="R156" i="5"/>
  <c r="M157" i="5"/>
  <c r="J157" i="5"/>
  <c r="H157" i="5" s="1"/>
  <c r="L157" i="5"/>
  <c r="R157" i="5"/>
  <c r="M161" i="5"/>
  <c r="J161" i="5"/>
  <c r="H161" i="5" s="1"/>
  <c r="P160" i="5"/>
  <c r="K161" i="5" s="1"/>
  <c r="L161" i="5"/>
  <c r="R161" i="5"/>
  <c r="M162" i="5"/>
  <c r="J162" i="5"/>
  <c r="H162" i="5" s="1"/>
  <c r="L162" i="5"/>
  <c r="R162" i="5"/>
  <c r="M163" i="5"/>
  <c r="J163" i="5"/>
  <c r="I163" i="5" s="1"/>
  <c r="L163" i="5"/>
  <c r="R163" i="5"/>
  <c r="M164" i="5"/>
  <c r="J164" i="5"/>
  <c r="I164" i="5" s="1"/>
  <c r="L164" i="5"/>
  <c r="R164" i="5"/>
  <c r="M175" i="5"/>
  <c r="J175" i="5"/>
  <c r="H175" i="5" s="1"/>
  <c r="P174" i="5"/>
  <c r="K175" i="5" s="1"/>
  <c r="L175" i="5"/>
  <c r="R175" i="5"/>
  <c r="M176" i="5"/>
  <c r="J176" i="5"/>
  <c r="I176" i="5" s="1"/>
  <c r="L176" i="5"/>
  <c r="R176" i="5"/>
  <c r="M177" i="5"/>
  <c r="J177" i="5"/>
  <c r="I177" i="5" s="1"/>
  <c r="L177" i="5"/>
  <c r="R177" i="5"/>
  <c r="M178" i="5"/>
  <c r="J178" i="5"/>
  <c r="H178" i="5" s="1"/>
  <c r="L178" i="5"/>
  <c r="R178" i="5"/>
  <c r="M179" i="5"/>
  <c r="J179" i="5"/>
  <c r="I179" i="5" s="1"/>
  <c r="L179" i="5"/>
  <c r="R179" i="5"/>
  <c r="M198" i="5"/>
  <c r="J198" i="5"/>
  <c r="I198" i="5" s="1"/>
  <c r="K198" i="5"/>
  <c r="L198" i="5"/>
  <c r="R198" i="5"/>
  <c r="M199" i="5"/>
  <c r="J199" i="5"/>
  <c r="H199" i="5" s="1"/>
  <c r="K199" i="5"/>
  <c r="L199" i="5"/>
  <c r="K232" i="5"/>
  <c r="K233" i="5"/>
  <c r="M236" i="5"/>
  <c r="J236" i="5"/>
  <c r="H236" i="5" s="1"/>
  <c r="L236" i="5"/>
  <c r="M237" i="5"/>
  <c r="J237" i="5"/>
  <c r="H237" i="5" s="1"/>
  <c r="L237" i="5"/>
  <c r="M238" i="5"/>
  <c r="J238" i="5"/>
  <c r="H238" i="5" s="1"/>
  <c r="L238" i="5"/>
  <c r="M239" i="5"/>
  <c r="J239" i="5"/>
  <c r="I239" i="5" s="1"/>
  <c r="L239" i="5"/>
  <c r="M240" i="5"/>
  <c r="J240" i="5"/>
  <c r="H240" i="5" s="1"/>
  <c r="L240" i="5"/>
  <c r="M268" i="5"/>
  <c r="J268" i="5"/>
  <c r="H268" i="5" s="1"/>
  <c r="L268" i="5"/>
  <c r="M269" i="5"/>
  <c r="J269" i="5"/>
  <c r="I269" i="5" s="1"/>
  <c r="L269" i="5"/>
  <c r="M270" i="5"/>
  <c r="J270" i="5"/>
  <c r="L270" i="5"/>
  <c r="M271" i="5"/>
  <c r="J271" i="5"/>
  <c r="H271" i="5" s="1"/>
  <c r="L271" i="5"/>
  <c r="M272" i="5"/>
  <c r="J272" i="5"/>
  <c r="H272" i="5" s="1"/>
  <c r="L272" i="5"/>
  <c r="M273" i="5"/>
  <c r="J273" i="5"/>
  <c r="L273" i="5"/>
  <c r="M274" i="5"/>
  <c r="J274" i="5"/>
  <c r="I274" i="5" s="1"/>
  <c r="L274" i="5"/>
  <c r="M275" i="5"/>
  <c r="J275" i="5"/>
  <c r="H275" i="5" s="1"/>
  <c r="L275" i="5"/>
  <c r="M276" i="5"/>
  <c r="J276" i="5"/>
  <c r="H276" i="5" s="1"/>
  <c r="L276" i="5"/>
  <c r="M277" i="5"/>
  <c r="J277" i="5"/>
  <c r="I277" i="5" s="1"/>
  <c r="L277" i="5"/>
  <c r="X288" i="5"/>
  <c r="Y288" i="5" s="1"/>
  <c r="X289" i="5"/>
  <c r="Y289" i="5" s="1"/>
  <c r="X290" i="5"/>
  <c r="Y290" i="5" s="1"/>
  <c r="X291" i="5"/>
  <c r="Y291" i="5" s="1"/>
  <c r="X292" i="5"/>
  <c r="Y292" i="5" s="1"/>
  <c r="X293" i="5"/>
  <c r="Y293" i="5" s="1"/>
  <c r="X294" i="5"/>
  <c r="Y294" i="5" s="1"/>
  <c r="X295" i="5"/>
  <c r="Y295" i="5" s="1"/>
  <c r="X296" i="5"/>
  <c r="Y296" i="5" s="1"/>
  <c r="X297" i="5"/>
  <c r="Y297" i="5" s="1"/>
  <c r="X287" i="5"/>
  <c r="Y287" i="5" s="1"/>
  <c r="N278" i="5"/>
  <c r="N277" i="5"/>
  <c r="N276" i="5"/>
  <c r="N275" i="5"/>
  <c r="N274" i="5"/>
  <c r="N273" i="5"/>
  <c r="N272" i="5"/>
  <c r="N271" i="5"/>
  <c r="N270" i="5"/>
  <c r="N269" i="5"/>
  <c r="N268" i="5"/>
  <c r="W205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W190" i="5"/>
  <c r="W191" i="5"/>
  <c r="W193" i="5"/>
  <c r="W194" i="5"/>
  <c r="W195" i="5"/>
  <c r="W196" i="5"/>
  <c r="W197" i="5"/>
  <c r="L234" i="5"/>
  <c r="M234" i="5"/>
  <c r="K234" i="5"/>
  <c r="J234" i="5"/>
  <c r="I234" i="5" s="1"/>
  <c r="W198" i="5"/>
  <c r="W199" i="5"/>
  <c r="L235" i="5"/>
  <c r="M235" i="5"/>
  <c r="K235" i="5"/>
  <c r="J235" i="5"/>
  <c r="W200" i="5"/>
  <c r="W202" i="5"/>
  <c r="W203" i="5"/>
  <c r="W208" i="5"/>
  <c r="W209" i="5"/>
  <c r="W210" i="5"/>
  <c r="W211" i="5"/>
  <c r="W212" i="5"/>
  <c r="W213" i="5"/>
  <c r="W214" i="5"/>
  <c r="V246" i="5"/>
  <c r="W246" i="5"/>
  <c r="V247" i="5"/>
  <c r="W247" i="5"/>
  <c r="N235" i="5"/>
  <c r="P62" i="14"/>
  <c r="N131" i="14"/>
  <c r="L131" i="14"/>
  <c r="K131" i="14"/>
  <c r="J131" i="14"/>
  <c r="M131" i="14"/>
  <c r="H131" i="14"/>
  <c r="N130" i="14"/>
  <c r="L130" i="14"/>
  <c r="K130" i="14"/>
  <c r="J130" i="14"/>
  <c r="N129" i="14"/>
  <c r="L129" i="14"/>
  <c r="G129" i="14" s="1"/>
  <c r="M129" i="14"/>
  <c r="K129" i="14"/>
  <c r="J129" i="14"/>
  <c r="I129" i="14"/>
  <c r="N128" i="14"/>
  <c r="L128" i="14"/>
  <c r="K128" i="14"/>
  <c r="J128" i="14"/>
  <c r="I128" i="14" s="1"/>
  <c r="M128" i="14"/>
  <c r="G128" i="14"/>
  <c r="F128" i="14" s="1"/>
  <c r="E128" i="14" s="1"/>
  <c r="D128" i="14" s="1"/>
  <c r="H128" i="14"/>
  <c r="Q128" i="14"/>
  <c r="N127" i="14"/>
  <c r="L127" i="14"/>
  <c r="K127" i="14"/>
  <c r="J127" i="14"/>
  <c r="I127" i="14" s="1"/>
  <c r="N126" i="14"/>
  <c r="L126" i="14"/>
  <c r="K126" i="14"/>
  <c r="J126" i="14"/>
  <c r="I126" i="14"/>
  <c r="H126" i="14"/>
  <c r="N125" i="14"/>
  <c r="L125" i="14"/>
  <c r="K125" i="14"/>
  <c r="J125" i="14"/>
  <c r="I125" i="14" s="1"/>
  <c r="N124" i="14"/>
  <c r="L124" i="14"/>
  <c r="K124" i="14"/>
  <c r="J124" i="14"/>
  <c r="N123" i="14"/>
  <c r="L123" i="14"/>
  <c r="K123" i="14"/>
  <c r="J123" i="14"/>
  <c r="I123" i="14" s="1"/>
  <c r="N122" i="14"/>
  <c r="L122" i="14"/>
  <c r="K122" i="14"/>
  <c r="J122" i="14"/>
  <c r="H122" i="14"/>
  <c r="I122" i="14"/>
  <c r="N121" i="14"/>
  <c r="L121" i="14"/>
  <c r="K121" i="14"/>
  <c r="J121" i="14"/>
  <c r="N120" i="14"/>
  <c r="L120" i="14"/>
  <c r="K120" i="14"/>
  <c r="J120" i="14"/>
  <c r="N119" i="14"/>
  <c r="L119" i="14"/>
  <c r="K119" i="14"/>
  <c r="J119" i="14"/>
  <c r="I119" i="14" s="1"/>
  <c r="N117" i="14"/>
  <c r="L117" i="14"/>
  <c r="K117" i="14"/>
  <c r="J117" i="14"/>
  <c r="I117" i="14"/>
  <c r="H117" i="14"/>
  <c r="N116" i="14"/>
  <c r="L116" i="14"/>
  <c r="K116" i="14"/>
  <c r="J116" i="14"/>
  <c r="I116" i="14" s="1"/>
  <c r="N115" i="14"/>
  <c r="L115" i="14"/>
  <c r="K115" i="14"/>
  <c r="J115" i="14"/>
  <c r="N114" i="14"/>
  <c r="L114" i="14"/>
  <c r="K114" i="14"/>
  <c r="J114" i="14"/>
  <c r="I114" i="14" s="1"/>
  <c r="N113" i="14"/>
  <c r="L113" i="14"/>
  <c r="K113" i="14"/>
  <c r="J113" i="14"/>
  <c r="N112" i="14"/>
  <c r="L112" i="14"/>
  <c r="K112" i="14"/>
  <c r="J112" i="14"/>
  <c r="I112" i="14"/>
  <c r="N111" i="14"/>
  <c r="L111" i="14"/>
  <c r="K111" i="14"/>
  <c r="J111" i="14"/>
  <c r="H111" i="14" s="1"/>
  <c r="N110" i="14"/>
  <c r="L110" i="14"/>
  <c r="K110" i="14"/>
  <c r="J110" i="14"/>
  <c r="I110" i="14"/>
  <c r="N109" i="14"/>
  <c r="L109" i="14"/>
  <c r="K109" i="14"/>
  <c r="J109" i="14"/>
  <c r="H109" i="14" s="1"/>
  <c r="N108" i="14"/>
  <c r="L108" i="14"/>
  <c r="K108" i="14"/>
  <c r="J108" i="14"/>
  <c r="I108" i="14"/>
  <c r="N107" i="14"/>
  <c r="L107" i="14"/>
  <c r="K107" i="14"/>
  <c r="J107" i="14"/>
  <c r="H107" i="14" s="1"/>
  <c r="N106" i="14"/>
  <c r="L106" i="14"/>
  <c r="K106" i="14"/>
  <c r="J106" i="14"/>
  <c r="I106" i="14" s="1"/>
  <c r="N105" i="14"/>
  <c r="L105" i="14"/>
  <c r="K105" i="14"/>
  <c r="J105" i="14"/>
  <c r="H105" i="14" s="1"/>
  <c r="N103" i="14"/>
  <c r="L103" i="14"/>
  <c r="K103" i="14"/>
  <c r="J103" i="14"/>
  <c r="I103" i="14"/>
  <c r="N102" i="14"/>
  <c r="L102" i="14"/>
  <c r="K102" i="14"/>
  <c r="J102" i="14"/>
  <c r="H102" i="14"/>
  <c r="N101" i="14"/>
  <c r="L101" i="14"/>
  <c r="K101" i="14"/>
  <c r="J101" i="14"/>
  <c r="I101" i="14" s="1"/>
  <c r="N100" i="14"/>
  <c r="L100" i="14"/>
  <c r="K100" i="14"/>
  <c r="J100" i="14"/>
  <c r="H100" i="14" s="1"/>
  <c r="N99" i="14"/>
  <c r="L99" i="14"/>
  <c r="K99" i="14"/>
  <c r="J99" i="14"/>
  <c r="I99" i="14"/>
  <c r="N98" i="14"/>
  <c r="L98" i="14"/>
  <c r="K98" i="14"/>
  <c r="J98" i="14"/>
  <c r="H98" i="14"/>
  <c r="N97" i="14"/>
  <c r="L97" i="14"/>
  <c r="K97" i="14"/>
  <c r="J97" i="14"/>
  <c r="I97" i="14" s="1"/>
  <c r="N96" i="14"/>
  <c r="L96" i="14"/>
  <c r="K96" i="14"/>
  <c r="J96" i="14"/>
  <c r="H96" i="14" s="1"/>
  <c r="N95" i="14"/>
  <c r="L95" i="14"/>
  <c r="K95" i="14"/>
  <c r="J95" i="14"/>
  <c r="I95" i="14"/>
  <c r="N94" i="14"/>
  <c r="L94" i="14"/>
  <c r="K94" i="14"/>
  <c r="J94" i="14"/>
  <c r="N93" i="14"/>
  <c r="L93" i="14"/>
  <c r="K93" i="14"/>
  <c r="J93" i="14"/>
  <c r="N92" i="14"/>
  <c r="L92" i="14"/>
  <c r="K92" i="14"/>
  <c r="J92" i="14"/>
  <c r="I92" i="14" s="1"/>
  <c r="H92" i="14"/>
  <c r="N91" i="14"/>
  <c r="L91" i="14"/>
  <c r="K91" i="14"/>
  <c r="J91" i="14"/>
  <c r="H91" i="14" s="1"/>
  <c r="N89" i="14"/>
  <c r="L89" i="14"/>
  <c r="J89" i="14"/>
  <c r="N88" i="14"/>
  <c r="L88" i="14"/>
  <c r="J88" i="14"/>
  <c r="H88" i="14" s="1"/>
  <c r="N87" i="14"/>
  <c r="L87" i="14"/>
  <c r="J87" i="14"/>
  <c r="N86" i="14"/>
  <c r="L86" i="14"/>
  <c r="J86" i="14"/>
  <c r="N85" i="14"/>
  <c r="L85" i="14"/>
  <c r="J85" i="14"/>
  <c r="N84" i="14"/>
  <c r="L84" i="14"/>
  <c r="J84" i="14"/>
  <c r="N83" i="14"/>
  <c r="L83" i="14"/>
  <c r="J83" i="14"/>
  <c r="I83" i="14" s="1"/>
  <c r="N82" i="14"/>
  <c r="L82" i="14"/>
  <c r="J82" i="14"/>
  <c r="N81" i="14"/>
  <c r="L81" i="14"/>
  <c r="J81" i="14"/>
  <c r="I81" i="14" s="1"/>
  <c r="N80" i="14"/>
  <c r="L80" i="14"/>
  <c r="J80" i="14"/>
  <c r="N79" i="14"/>
  <c r="L79" i="14"/>
  <c r="J79" i="14"/>
  <c r="N78" i="14"/>
  <c r="L78" i="14"/>
  <c r="J78" i="14"/>
  <c r="N77" i="14"/>
  <c r="L77" i="14"/>
  <c r="P76" i="14"/>
  <c r="K77" i="14" s="1"/>
  <c r="J77" i="14"/>
  <c r="N75" i="14"/>
  <c r="L75" i="14"/>
  <c r="J75" i="14"/>
  <c r="I75" i="14"/>
  <c r="N74" i="14"/>
  <c r="L74" i="14"/>
  <c r="J74" i="14"/>
  <c r="I74" i="14" s="1"/>
  <c r="N73" i="14"/>
  <c r="L73" i="14"/>
  <c r="K73" i="14"/>
  <c r="J73" i="14"/>
  <c r="I73" i="14" s="1"/>
  <c r="N72" i="14"/>
  <c r="L72" i="14"/>
  <c r="K72" i="14"/>
  <c r="J72" i="14"/>
  <c r="I72" i="14" s="1"/>
  <c r="N71" i="14"/>
  <c r="L71" i="14"/>
  <c r="J71" i="14"/>
  <c r="I71" i="14"/>
  <c r="N70" i="14"/>
  <c r="L70" i="14"/>
  <c r="J70" i="14"/>
  <c r="N69" i="14"/>
  <c r="L69" i="14"/>
  <c r="K69" i="14"/>
  <c r="J69" i="14"/>
  <c r="I69" i="14" s="1"/>
  <c r="N68" i="14"/>
  <c r="L68" i="14"/>
  <c r="K68" i="14"/>
  <c r="J68" i="14"/>
  <c r="I68" i="14" s="1"/>
  <c r="N67" i="14"/>
  <c r="L67" i="14"/>
  <c r="J67" i="14"/>
  <c r="I67" i="14"/>
  <c r="N66" i="14"/>
  <c r="L66" i="14"/>
  <c r="J66" i="14"/>
  <c r="N65" i="14"/>
  <c r="L65" i="14"/>
  <c r="K65" i="14"/>
  <c r="J65" i="14"/>
  <c r="I65" i="14" s="1"/>
  <c r="N64" i="14"/>
  <c r="L64" i="14"/>
  <c r="K64" i="14"/>
  <c r="J64" i="14"/>
  <c r="I64" i="14" s="1"/>
  <c r="N63" i="14"/>
  <c r="L63" i="14"/>
  <c r="J63" i="14"/>
  <c r="I63" i="14"/>
  <c r="N61" i="14"/>
  <c r="L61" i="14"/>
  <c r="K61" i="14"/>
  <c r="J61" i="14"/>
  <c r="I61" i="14" s="1"/>
  <c r="N60" i="14"/>
  <c r="L60" i="14"/>
  <c r="K60" i="14"/>
  <c r="J60" i="14"/>
  <c r="I60" i="14" s="1"/>
  <c r="N59" i="14"/>
  <c r="L59" i="14"/>
  <c r="K59" i="14"/>
  <c r="J59" i="14"/>
  <c r="I59" i="14" s="1"/>
  <c r="N58" i="14"/>
  <c r="L58" i="14"/>
  <c r="K58" i="14"/>
  <c r="J58" i="14"/>
  <c r="I58" i="14"/>
  <c r="N57" i="14"/>
  <c r="L57" i="14"/>
  <c r="K57" i="14"/>
  <c r="J57" i="14"/>
  <c r="N56" i="14"/>
  <c r="L56" i="14"/>
  <c r="K56" i="14"/>
  <c r="J56" i="14"/>
  <c r="I56" i="14" s="1"/>
  <c r="N55" i="14"/>
  <c r="L55" i="14"/>
  <c r="K55" i="14"/>
  <c r="J55" i="14"/>
  <c r="I55" i="14" s="1"/>
  <c r="N54" i="14"/>
  <c r="L54" i="14"/>
  <c r="K54" i="14"/>
  <c r="J54" i="14"/>
  <c r="I54" i="14"/>
  <c r="N53" i="14"/>
  <c r="L53" i="14"/>
  <c r="K53" i="14"/>
  <c r="J53" i="14"/>
  <c r="H53" i="14" s="1"/>
  <c r="N52" i="14"/>
  <c r="L52" i="14"/>
  <c r="K52" i="14"/>
  <c r="J52" i="14"/>
  <c r="I52" i="14" s="1"/>
  <c r="N51" i="14"/>
  <c r="L51" i="14"/>
  <c r="K51" i="14"/>
  <c r="J51" i="14"/>
  <c r="I51" i="14"/>
  <c r="H51" i="14"/>
  <c r="N50" i="14"/>
  <c r="L50" i="14"/>
  <c r="K50" i="14"/>
  <c r="J50" i="14"/>
  <c r="H50" i="14" s="1"/>
  <c r="N49" i="14"/>
  <c r="L49" i="14"/>
  <c r="K49" i="14"/>
  <c r="J49" i="14"/>
  <c r="I49" i="14" s="1"/>
  <c r="H49" i="14"/>
  <c r="N47" i="14"/>
  <c r="L47" i="14"/>
  <c r="K47" i="14"/>
  <c r="J47" i="14"/>
  <c r="I47" i="14" s="1"/>
  <c r="N46" i="14"/>
  <c r="L46" i="14"/>
  <c r="K46" i="14"/>
  <c r="J46" i="14"/>
  <c r="I46" i="14" s="1"/>
  <c r="N45" i="14"/>
  <c r="L45" i="14"/>
  <c r="K45" i="14"/>
  <c r="J45" i="14"/>
  <c r="H45" i="14"/>
  <c r="N44" i="14"/>
  <c r="L44" i="14"/>
  <c r="K44" i="14"/>
  <c r="J44" i="14"/>
  <c r="I44" i="14" s="1"/>
  <c r="H44" i="14"/>
  <c r="N43" i="14"/>
  <c r="L43" i="14"/>
  <c r="K43" i="14"/>
  <c r="J43" i="14"/>
  <c r="H43" i="14" s="1"/>
  <c r="N42" i="14"/>
  <c r="L42" i="14"/>
  <c r="K42" i="14"/>
  <c r="J42" i="14"/>
  <c r="N41" i="14"/>
  <c r="L41" i="14"/>
  <c r="K41" i="14"/>
  <c r="J41" i="14"/>
  <c r="H41" i="14"/>
  <c r="N40" i="14"/>
  <c r="L40" i="14"/>
  <c r="K40" i="14"/>
  <c r="J40" i="14"/>
  <c r="I40" i="14" s="1"/>
  <c r="N39" i="14"/>
  <c r="L39" i="14"/>
  <c r="K39" i="14"/>
  <c r="J39" i="14"/>
  <c r="I39" i="14" s="1"/>
  <c r="H39" i="14"/>
  <c r="N38" i="14"/>
  <c r="L38" i="14"/>
  <c r="K38" i="14"/>
  <c r="J38" i="14"/>
  <c r="I38" i="14" s="1"/>
  <c r="N37" i="14"/>
  <c r="L37" i="14"/>
  <c r="K37" i="14"/>
  <c r="J37" i="14"/>
  <c r="H37" i="14" s="1"/>
  <c r="N36" i="14"/>
  <c r="L36" i="14"/>
  <c r="K36" i="14"/>
  <c r="J36" i="14"/>
  <c r="H36" i="14"/>
  <c r="I36" i="14"/>
  <c r="N35" i="14"/>
  <c r="L35" i="14"/>
  <c r="K35" i="14"/>
  <c r="J35" i="14"/>
  <c r="N33" i="14"/>
  <c r="L33" i="14"/>
  <c r="K33" i="14"/>
  <c r="J33" i="14"/>
  <c r="H33" i="14" s="1"/>
  <c r="N32" i="14"/>
  <c r="L32" i="14"/>
  <c r="K32" i="14"/>
  <c r="J32" i="14"/>
  <c r="H32" i="14" s="1"/>
  <c r="N31" i="14"/>
  <c r="L31" i="14"/>
  <c r="K31" i="14"/>
  <c r="J31" i="14"/>
  <c r="N30" i="14"/>
  <c r="L30" i="14"/>
  <c r="K30" i="14"/>
  <c r="J30" i="14"/>
  <c r="H30" i="14"/>
  <c r="I30" i="14"/>
  <c r="N29" i="14"/>
  <c r="L29" i="14"/>
  <c r="K29" i="14"/>
  <c r="J29" i="14"/>
  <c r="N28" i="14"/>
  <c r="L28" i="14"/>
  <c r="K28" i="14"/>
  <c r="J28" i="14"/>
  <c r="H28" i="14"/>
  <c r="N27" i="14"/>
  <c r="L27" i="14"/>
  <c r="K27" i="14"/>
  <c r="J27" i="14"/>
  <c r="I27" i="14" s="1"/>
  <c r="N26" i="14"/>
  <c r="L26" i="14"/>
  <c r="K26" i="14"/>
  <c r="J26" i="14"/>
  <c r="H26" i="14" s="1"/>
  <c r="I26" i="14"/>
  <c r="N25" i="14"/>
  <c r="L25" i="14"/>
  <c r="K25" i="14"/>
  <c r="J25" i="14"/>
  <c r="N24" i="14"/>
  <c r="L24" i="14"/>
  <c r="K24" i="14"/>
  <c r="J24" i="14"/>
  <c r="N23" i="14"/>
  <c r="L23" i="14"/>
  <c r="K23" i="14"/>
  <c r="G23" i="14" s="1"/>
  <c r="J23" i="14"/>
  <c r="N22" i="14"/>
  <c r="L22" i="14"/>
  <c r="K22" i="14"/>
  <c r="J22" i="14"/>
  <c r="N21" i="14"/>
  <c r="L21" i="14"/>
  <c r="K21" i="14"/>
  <c r="J21" i="14"/>
  <c r="H21" i="14"/>
  <c r="I21" i="14"/>
  <c r="N19" i="14"/>
  <c r="L19" i="14"/>
  <c r="K19" i="14"/>
  <c r="J19" i="14"/>
  <c r="H19" i="14" s="1"/>
  <c r="N18" i="14"/>
  <c r="L18" i="14"/>
  <c r="K18" i="14"/>
  <c r="J18" i="14"/>
  <c r="N17" i="14"/>
  <c r="L17" i="14"/>
  <c r="K17" i="14"/>
  <c r="J17" i="14"/>
  <c r="H17" i="14" s="1"/>
  <c r="I17" i="14"/>
  <c r="N16" i="14"/>
  <c r="L16" i="14"/>
  <c r="K16" i="14"/>
  <c r="J16" i="14"/>
  <c r="N15" i="14"/>
  <c r="L15" i="14"/>
  <c r="K15" i="14"/>
  <c r="J15" i="14"/>
  <c r="H15" i="14" s="1"/>
  <c r="N14" i="14"/>
  <c r="L14" i="14"/>
  <c r="K14" i="14"/>
  <c r="G14" i="14" s="1"/>
  <c r="J14" i="14"/>
  <c r="N13" i="14"/>
  <c r="L13" i="14"/>
  <c r="K13" i="14"/>
  <c r="J13" i="14"/>
  <c r="H13" i="14"/>
  <c r="I13" i="14"/>
  <c r="N12" i="14"/>
  <c r="L12" i="14"/>
  <c r="K12" i="14"/>
  <c r="J12" i="14"/>
  <c r="N11" i="14"/>
  <c r="L11" i="14"/>
  <c r="K11" i="14"/>
  <c r="J11" i="14"/>
  <c r="H11" i="14" s="1"/>
  <c r="N10" i="14"/>
  <c r="L10" i="14"/>
  <c r="K10" i="14"/>
  <c r="J10" i="14"/>
  <c r="H10" i="14" s="1"/>
  <c r="I10" i="14"/>
  <c r="N9" i="14"/>
  <c r="L9" i="14"/>
  <c r="K9" i="14"/>
  <c r="J9" i="14"/>
  <c r="N8" i="14"/>
  <c r="L8" i="14"/>
  <c r="K8" i="14"/>
  <c r="J8" i="14"/>
  <c r="N7" i="14"/>
  <c r="L7" i="14"/>
  <c r="K7" i="14"/>
  <c r="J7" i="14"/>
  <c r="H7" i="14" s="1"/>
  <c r="M81" i="14"/>
  <c r="B7" i="10"/>
  <c r="N131" i="11"/>
  <c r="L131" i="11"/>
  <c r="K131" i="11"/>
  <c r="J131" i="11"/>
  <c r="I131" i="11" s="1"/>
  <c r="N130" i="11"/>
  <c r="L130" i="11"/>
  <c r="K130" i="11"/>
  <c r="J130" i="11"/>
  <c r="I130" i="11"/>
  <c r="N129" i="11"/>
  <c r="L129" i="11"/>
  <c r="K129" i="11"/>
  <c r="J129" i="11"/>
  <c r="N128" i="11"/>
  <c r="L128" i="11"/>
  <c r="K128" i="11"/>
  <c r="J128" i="11"/>
  <c r="N127" i="11"/>
  <c r="L127" i="11"/>
  <c r="K127" i="11"/>
  <c r="J127" i="11"/>
  <c r="H127" i="11" s="1"/>
  <c r="N126" i="11"/>
  <c r="L126" i="11"/>
  <c r="K126" i="11"/>
  <c r="J126" i="11"/>
  <c r="N125" i="11"/>
  <c r="L125" i="11"/>
  <c r="K125" i="11"/>
  <c r="J125" i="11"/>
  <c r="H125" i="11" s="1"/>
  <c r="N124" i="11"/>
  <c r="L124" i="11"/>
  <c r="K124" i="11"/>
  <c r="J124" i="11"/>
  <c r="N123" i="11"/>
  <c r="L123" i="11"/>
  <c r="K123" i="11"/>
  <c r="J123" i="11"/>
  <c r="H123" i="11"/>
  <c r="N122" i="11"/>
  <c r="L122" i="11"/>
  <c r="K122" i="11"/>
  <c r="J122" i="11"/>
  <c r="N121" i="11"/>
  <c r="L121" i="11"/>
  <c r="K121" i="11"/>
  <c r="J121" i="11"/>
  <c r="H121" i="11" s="1"/>
  <c r="N120" i="11"/>
  <c r="L120" i="11"/>
  <c r="K120" i="11"/>
  <c r="J120" i="11"/>
  <c r="N119" i="11"/>
  <c r="L119" i="11"/>
  <c r="K119" i="11"/>
  <c r="J119" i="11"/>
  <c r="H119" i="11" s="1"/>
  <c r="N117" i="11"/>
  <c r="L117" i="11"/>
  <c r="K117" i="11"/>
  <c r="J117" i="11"/>
  <c r="N116" i="11"/>
  <c r="L116" i="11"/>
  <c r="K116" i="11"/>
  <c r="J116" i="11"/>
  <c r="H116" i="11" s="1"/>
  <c r="N115" i="11"/>
  <c r="L115" i="11"/>
  <c r="K115" i="11"/>
  <c r="J115" i="11"/>
  <c r="N114" i="11"/>
  <c r="L114" i="11"/>
  <c r="K114" i="11"/>
  <c r="J114" i="11"/>
  <c r="H114" i="11"/>
  <c r="F114" i="11" s="1"/>
  <c r="E114" i="11" s="1"/>
  <c r="D114" i="11" s="1"/>
  <c r="Q114" i="11" s="1"/>
  <c r="N113" i="11"/>
  <c r="L113" i="11"/>
  <c r="K113" i="11"/>
  <c r="J113" i="11"/>
  <c r="N112" i="11"/>
  <c r="L112" i="11"/>
  <c r="K112" i="11"/>
  <c r="J112" i="11"/>
  <c r="H112" i="11" s="1"/>
  <c r="F112" i="11" s="1"/>
  <c r="N111" i="11"/>
  <c r="L111" i="11"/>
  <c r="K111" i="11"/>
  <c r="J111" i="11"/>
  <c r="H111" i="11" s="1"/>
  <c r="N110" i="11"/>
  <c r="L110" i="11"/>
  <c r="K110" i="11"/>
  <c r="G110" i="11" s="1"/>
  <c r="F110" i="11" s="1"/>
  <c r="E110" i="11" s="1"/>
  <c r="D110" i="11" s="1"/>
  <c r="Q110" i="11" s="1"/>
  <c r="J110" i="11"/>
  <c r="H110" i="11" s="1"/>
  <c r="N109" i="11"/>
  <c r="L109" i="11"/>
  <c r="K109" i="11"/>
  <c r="J109" i="11"/>
  <c r="N108" i="11"/>
  <c r="L108" i="11"/>
  <c r="K108" i="11"/>
  <c r="J108" i="11"/>
  <c r="H108" i="11" s="1"/>
  <c r="N107" i="11"/>
  <c r="L107" i="11"/>
  <c r="K107" i="11"/>
  <c r="J107" i="11"/>
  <c r="N106" i="11"/>
  <c r="L106" i="11"/>
  <c r="K106" i="11"/>
  <c r="J106" i="11"/>
  <c r="H106" i="11"/>
  <c r="N105" i="11"/>
  <c r="L105" i="11"/>
  <c r="K105" i="11"/>
  <c r="J105" i="11"/>
  <c r="N103" i="11"/>
  <c r="L103" i="11"/>
  <c r="K103" i="11"/>
  <c r="J103" i="11"/>
  <c r="H103" i="11" s="1"/>
  <c r="N102" i="11"/>
  <c r="L102" i="11"/>
  <c r="K102" i="11"/>
  <c r="J102" i="11"/>
  <c r="N101" i="11"/>
  <c r="L101" i="11"/>
  <c r="K101" i="11"/>
  <c r="J101" i="11"/>
  <c r="N100" i="11"/>
  <c r="L100" i="11"/>
  <c r="K100" i="11"/>
  <c r="J100" i="11"/>
  <c r="H100" i="11"/>
  <c r="N99" i="11"/>
  <c r="L99" i="11"/>
  <c r="K99" i="11"/>
  <c r="J99" i="11"/>
  <c r="H99" i="11"/>
  <c r="F99" i="11" s="1"/>
  <c r="E99" i="11" s="1"/>
  <c r="D99" i="11" s="1"/>
  <c r="Q99" i="11" s="1"/>
  <c r="N98" i="11"/>
  <c r="L98" i="11"/>
  <c r="K98" i="11"/>
  <c r="M98" i="11"/>
  <c r="G98" i="11" s="1"/>
  <c r="J98" i="11"/>
  <c r="N97" i="11"/>
  <c r="L97" i="11"/>
  <c r="K97" i="11"/>
  <c r="J97" i="11"/>
  <c r="H97" i="11"/>
  <c r="I97" i="11"/>
  <c r="N96" i="11"/>
  <c r="L96" i="11"/>
  <c r="K96" i="11"/>
  <c r="J96" i="11"/>
  <c r="H96" i="11" s="1"/>
  <c r="N95" i="11"/>
  <c r="L95" i="11"/>
  <c r="K95" i="11"/>
  <c r="J95" i="11"/>
  <c r="N94" i="11"/>
  <c r="L94" i="11"/>
  <c r="K94" i="11"/>
  <c r="J94" i="11"/>
  <c r="H94" i="11" s="1"/>
  <c r="I94" i="11"/>
  <c r="N93" i="11"/>
  <c r="L93" i="11"/>
  <c r="K93" i="11"/>
  <c r="J93" i="11"/>
  <c r="N92" i="11"/>
  <c r="L92" i="11"/>
  <c r="K92" i="11"/>
  <c r="J92" i="11"/>
  <c r="H92" i="11" s="1"/>
  <c r="N91" i="11"/>
  <c r="L91" i="11"/>
  <c r="K91" i="11"/>
  <c r="J91" i="11"/>
  <c r="H91" i="11" s="1"/>
  <c r="N89" i="11"/>
  <c r="L89" i="11"/>
  <c r="J89" i="11"/>
  <c r="H89" i="11" s="1"/>
  <c r="N88" i="11"/>
  <c r="L88" i="11"/>
  <c r="P76" i="11"/>
  <c r="K88" i="11" s="1"/>
  <c r="J88" i="11"/>
  <c r="N87" i="11"/>
  <c r="L87" i="11"/>
  <c r="J87" i="11"/>
  <c r="N86" i="11"/>
  <c r="L86" i="11"/>
  <c r="J86" i="11"/>
  <c r="N85" i="11"/>
  <c r="L85" i="11"/>
  <c r="K85" i="11"/>
  <c r="J85" i="11"/>
  <c r="N84" i="11"/>
  <c r="L84" i="11"/>
  <c r="J84" i="11"/>
  <c r="N83" i="11"/>
  <c r="L83" i="11"/>
  <c r="K83" i="11"/>
  <c r="J83" i="11"/>
  <c r="N82" i="11"/>
  <c r="L82" i="11"/>
  <c r="J82" i="11"/>
  <c r="N81" i="11"/>
  <c r="L81" i="11"/>
  <c r="J81" i="11"/>
  <c r="N80" i="11"/>
  <c r="L80" i="11"/>
  <c r="J80" i="11"/>
  <c r="N79" i="11"/>
  <c r="L79" i="11"/>
  <c r="J79" i="11"/>
  <c r="N78" i="11"/>
  <c r="L78" i="11"/>
  <c r="J78" i="11"/>
  <c r="N77" i="11"/>
  <c r="L77" i="11"/>
  <c r="K77" i="11"/>
  <c r="J77" i="11"/>
  <c r="K79" i="11"/>
  <c r="N75" i="11"/>
  <c r="L75" i="11"/>
  <c r="K75" i="11"/>
  <c r="J75" i="11"/>
  <c r="I75" i="11"/>
  <c r="N74" i="11"/>
  <c r="L74" i="11"/>
  <c r="K74" i="11"/>
  <c r="J74" i="11"/>
  <c r="H74" i="11" s="1"/>
  <c r="N73" i="11"/>
  <c r="L73" i="11"/>
  <c r="K73" i="11"/>
  <c r="J73" i="11"/>
  <c r="N72" i="11"/>
  <c r="L72" i="11"/>
  <c r="K72" i="11"/>
  <c r="J72" i="11"/>
  <c r="N71" i="11"/>
  <c r="L71" i="11"/>
  <c r="K71" i="11"/>
  <c r="J71" i="11"/>
  <c r="H71" i="11"/>
  <c r="I71" i="11"/>
  <c r="N70" i="11"/>
  <c r="L70" i="11"/>
  <c r="K70" i="11"/>
  <c r="J70" i="11"/>
  <c r="H70" i="11" s="1"/>
  <c r="N69" i="11"/>
  <c r="L69" i="11"/>
  <c r="K69" i="11"/>
  <c r="J69" i="11"/>
  <c r="H69" i="11" s="1"/>
  <c r="N68" i="11"/>
  <c r="L68" i="11"/>
  <c r="K68" i="11"/>
  <c r="J68" i="11"/>
  <c r="H68" i="11"/>
  <c r="I68" i="11"/>
  <c r="N67" i="11"/>
  <c r="L67" i="11"/>
  <c r="K67" i="11"/>
  <c r="G67" i="11" s="1"/>
  <c r="J67" i="11"/>
  <c r="N66" i="11"/>
  <c r="L66" i="11"/>
  <c r="M66" i="11"/>
  <c r="K66" i="11"/>
  <c r="G66" i="11"/>
  <c r="F66" i="11" s="1"/>
  <c r="J66" i="11"/>
  <c r="H66" i="11" s="1"/>
  <c r="I66" i="11"/>
  <c r="E66" i="11" s="1"/>
  <c r="D66" i="11" s="1"/>
  <c r="Q66" i="11" s="1"/>
  <c r="N65" i="11"/>
  <c r="L65" i="11"/>
  <c r="K65" i="11"/>
  <c r="J65" i="11"/>
  <c r="H65" i="11" s="1"/>
  <c r="N64" i="11"/>
  <c r="L64" i="11"/>
  <c r="K64" i="11"/>
  <c r="J64" i="11"/>
  <c r="I64" i="11"/>
  <c r="N63" i="11"/>
  <c r="L63" i="11"/>
  <c r="K63" i="11"/>
  <c r="J63" i="11"/>
  <c r="I63" i="11" s="1"/>
  <c r="N61" i="11"/>
  <c r="L61" i="11"/>
  <c r="K61" i="11"/>
  <c r="J61" i="11"/>
  <c r="H61" i="11" s="1"/>
  <c r="N60" i="11"/>
  <c r="L60" i="11"/>
  <c r="K60" i="11"/>
  <c r="J60" i="11"/>
  <c r="H60" i="11"/>
  <c r="N59" i="11"/>
  <c r="L59" i="11"/>
  <c r="K59" i="11"/>
  <c r="J59" i="11"/>
  <c r="I59" i="11" s="1"/>
  <c r="H59" i="11"/>
  <c r="F59" i="11" s="1"/>
  <c r="N58" i="11"/>
  <c r="L58" i="11"/>
  <c r="K58" i="11"/>
  <c r="J58" i="11"/>
  <c r="N57" i="11"/>
  <c r="L57" i="11"/>
  <c r="K57" i="11"/>
  <c r="M57" i="11"/>
  <c r="G57" i="11" s="1"/>
  <c r="J57" i="11"/>
  <c r="I57" i="11" s="1"/>
  <c r="N56" i="11"/>
  <c r="L56" i="11"/>
  <c r="K56" i="11"/>
  <c r="J56" i="11"/>
  <c r="N55" i="11"/>
  <c r="L55" i="11"/>
  <c r="K55" i="11"/>
  <c r="J55" i="11"/>
  <c r="I55" i="11" s="1"/>
  <c r="H55" i="11"/>
  <c r="N54" i="11"/>
  <c r="L54" i="11"/>
  <c r="K54" i="11"/>
  <c r="J54" i="11"/>
  <c r="I54" i="11" s="1"/>
  <c r="N53" i="11"/>
  <c r="L53" i="11"/>
  <c r="K53" i="11"/>
  <c r="J53" i="11"/>
  <c r="H53" i="11" s="1"/>
  <c r="N52" i="11"/>
  <c r="L52" i="11"/>
  <c r="K52" i="11"/>
  <c r="J52" i="11"/>
  <c r="H52" i="11"/>
  <c r="N51" i="11"/>
  <c r="L51" i="11"/>
  <c r="K51" i="11"/>
  <c r="J51" i="11"/>
  <c r="I51" i="11" s="1"/>
  <c r="N50" i="11"/>
  <c r="L50" i="11"/>
  <c r="K50" i="11"/>
  <c r="J50" i="11"/>
  <c r="I50" i="11" s="1"/>
  <c r="H50" i="11"/>
  <c r="N49" i="11"/>
  <c r="L49" i="11"/>
  <c r="K49" i="11"/>
  <c r="J49" i="11"/>
  <c r="H49" i="11" s="1"/>
  <c r="F49" i="11" s="1"/>
  <c r="N47" i="11"/>
  <c r="L47" i="11"/>
  <c r="K47" i="11"/>
  <c r="J47" i="11"/>
  <c r="H47" i="11" s="1"/>
  <c r="N46" i="11"/>
  <c r="L46" i="11"/>
  <c r="K46" i="11"/>
  <c r="J46" i="11"/>
  <c r="N45" i="11"/>
  <c r="L45" i="11"/>
  <c r="K45" i="11"/>
  <c r="J45" i="11"/>
  <c r="H45" i="11" s="1"/>
  <c r="I45" i="11"/>
  <c r="N44" i="11"/>
  <c r="L44" i="11"/>
  <c r="K44" i="11"/>
  <c r="J44" i="11"/>
  <c r="H44" i="11" s="1"/>
  <c r="N43" i="11"/>
  <c r="L43" i="11"/>
  <c r="K43" i="11"/>
  <c r="J43" i="11"/>
  <c r="H43" i="11" s="1"/>
  <c r="N42" i="11"/>
  <c r="L42" i="11"/>
  <c r="K42" i="11"/>
  <c r="J42" i="11"/>
  <c r="H42" i="11" s="1"/>
  <c r="I42" i="11"/>
  <c r="N41" i="11"/>
  <c r="L41" i="11"/>
  <c r="K41" i="11"/>
  <c r="J41" i="11"/>
  <c r="H41" i="11" s="1"/>
  <c r="N40" i="11"/>
  <c r="L40" i="11"/>
  <c r="K40" i="11"/>
  <c r="J40" i="11"/>
  <c r="H40" i="11" s="1"/>
  <c r="N39" i="11"/>
  <c r="L39" i="11"/>
  <c r="K39" i="11"/>
  <c r="J39" i="11"/>
  <c r="H39" i="11"/>
  <c r="N38" i="11"/>
  <c r="L38" i="11"/>
  <c r="K38" i="11"/>
  <c r="J38" i="11"/>
  <c r="N37" i="11"/>
  <c r="M37" i="11"/>
  <c r="L37" i="11"/>
  <c r="K37" i="11"/>
  <c r="J37" i="11"/>
  <c r="N36" i="11"/>
  <c r="L36" i="11"/>
  <c r="K36" i="11"/>
  <c r="J36" i="11"/>
  <c r="N35" i="11"/>
  <c r="L35" i="11"/>
  <c r="K35" i="11"/>
  <c r="J35" i="11"/>
  <c r="H35" i="11" s="1"/>
  <c r="N33" i="11"/>
  <c r="L33" i="11"/>
  <c r="K33" i="11"/>
  <c r="J33" i="11"/>
  <c r="N32" i="11"/>
  <c r="M32" i="11"/>
  <c r="L32" i="11"/>
  <c r="K32" i="11"/>
  <c r="J32" i="11"/>
  <c r="I32" i="11" s="1"/>
  <c r="N31" i="11"/>
  <c r="L31" i="11"/>
  <c r="K31" i="11"/>
  <c r="J31" i="11"/>
  <c r="N30" i="11"/>
  <c r="L30" i="11"/>
  <c r="K30" i="11"/>
  <c r="J30" i="11"/>
  <c r="H30" i="11" s="1"/>
  <c r="I30" i="11"/>
  <c r="N29" i="11"/>
  <c r="L29" i="11"/>
  <c r="K29" i="11"/>
  <c r="J29" i="11"/>
  <c r="N28" i="11"/>
  <c r="M28" i="11"/>
  <c r="L28" i="11"/>
  <c r="K28" i="11"/>
  <c r="J28" i="11"/>
  <c r="N27" i="11"/>
  <c r="L27" i="11"/>
  <c r="K27" i="11"/>
  <c r="J27" i="11"/>
  <c r="N26" i="11"/>
  <c r="L26" i="11"/>
  <c r="K26" i="11"/>
  <c r="J26" i="11"/>
  <c r="H26" i="11" s="1"/>
  <c r="I26" i="11"/>
  <c r="N25" i="11"/>
  <c r="L25" i="11"/>
  <c r="K25" i="11"/>
  <c r="J25" i="11"/>
  <c r="N24" i="11"/>
  <c r="M24" i="11"/>
  <c r="L24" i="11"/>
  <c r="K24" i="11"/>
  <c r="J24" i="11"/>
  <c r="H24" i="11" s="1"/>
  <c r="N23" i="11"/>
  <c r="L23" i="11"/>
  <c r="K23" i="11"/>
  <c r="J23" i="11"/>
  <c r="N22" i="11"/>
  <c r="L22" i="11"/>
  <c r="K22" i="11"/>
  <c r="J22" i="11"/>
  <c r="H22" i="11" s="1"/>
  <c r="N21" i="11"/>
  <c r="L21" i="11"/>
  <c r="K21" i="11"/>
  <c r="J21" i="11"/>
  <c r="N19" i="11"/>
  <c r="M19" i="11"/>
  <c r="G19" i="11" s="1"/>
  <c r="L19" i="11"/>
  <c r="K19" i="11"/>
  <c r="J19" i="11"/>
  <c r="N18" i="11"/>
  <c r="L18" i="11"/>
  <c r="K18" i="11"/>
  <c r="J18" i="11"/>
  <c r="N17" i="11"/>
  <c r="L17" i="11"/>
  <c r="K17" i="11"/>
  <c r="J17" i="11"/>
  <c r="H17" i="11"/>
  <c r="N16" i="11"/>
  <c r="L16" i="11"/>
  <c r="K16" i="11"/>
  <c r="J16" i="11"/>
  <c r="N15" i="11"/>
  <c r="M15" i="11"/>
  <c r="L15" i="11"/>
  <c r="K15" i="11"/>
  <c r="J15" i="11"/>
  <c r="H15" i="11" s="1"/>
  <c r="I15" i="11"/>
  <c r="N14" i="11"/>
  <c r="L14" i="11"/>
  <c r="K14" i="11"/>
  <c r="J14" i="11"/>
  <c r="N13" i="11"/>
  <c r="L13" i="11"/>
  <c r="K13" i="11"/>
  <c r="J13" i="11"/>
  <c r="I13" i="11" s="1"/>
  <c r="H13" i="11"/>
  <c r="N12" i="11"/>
  <c r="M12" i="11"/>
  <c r="L12" i="11"/>
  <c r="K12" i="11"/>
  <c r="J12" i="11"/>
  <c r="I12" i="11"/>
  <c r="H12" i="11"/>
  <c r="N11" i="11"/>
  <c r="M11" i="11"/>
  <c r="L11" i="11"/>
  <c r="K11" i="11"/>
  <c r="J11" i="11"/>
  <c r="H11" i="11" s="1"/>
  <c r="N10" i="11"/>
  <c r="L10" i="11"/>
  <c r="K10" i="11"/>
  <c r="J10" i="11"/>
  <c r="I10" i="11"/>
  <c r="H10" i="11"/>
  <c r="N9" i="11"/>
  <c r="M9" i="11"/>
  <c r="L9" i="11"/>
  <c r="K9" i="11"/>
  <c r="J9" i="11"/>
  <c r="H9" i="11" s="1"/>
  <c r="N8" i="11"/>
  <c r="L8" i="11"/>
  <c r="K8" i="11"/>
  <c r="J8" i="11"/>
  <c r="I8" i="11"/>
  <c r="H8" i="11"/>
  <c r="N7" i="11"/>
  <c r="M7" i="11"/>
  <c r="L7" i="11"/>
  <c r="K7" i="11"/>
  <c r="J7" i="11"/>
  <c r="H7" i="11" s="1"/>
  <c r="M97" i="11"/>
  <c r="M130" i="10"/>
  <c r="N131" i="10"/>
  <c r="L131" i="10"/>
  <c r="K131" i="10"/>
  <c r="J131" i="10"/>
  <c r="I131" i="10" s="1"/>
  <c r="N130" i="10"/>
  <c r="L130" i="10"/>
  <c r="K130" i="10"/>
  <c r="J130" i="10"/>
  <c r="I130" i="10" s="1"/>
  <c r="H130" i="10"/>
  <c r="F130" i="10" s="1"/>
  <c r="N129" i="10"/>
  <c r="L129" i="10"/>
  <c r="K129" i="10"/>
  <c r="J129" i="10"/>
  <c r="N128" i="10"/>
  <c r="L128" i="10"/>
  <c r="K128" i="10"/>
  <c r="J128" i="10"/>
  <c r="I128" i="10" s="1"/>
  <c r="N127" i="10"/>
  <c r="L127" i="10"/>
  <c r="K127" i="10"/>
  <c r="J127" i="10"/>
  <c r="I127" i="10"/>
  <c r="H127" i="10"/>
  <c r="N126" i="10"/>
  <c r="L126" i="10"/>
  <c r="K126" i="10"/>
  <c r="J126" i="10"/>
  <c r="N125" i="10"/>
  <c r="M125" i="10"/>
  <c r="L125" i="10"/>
  <c r="K125" i="10"/>
  <c r="J125" i="10"/>
  <c r="N124" i="10"/>
  <c r="M124" i="10"/>
  <c r="G124" i="10" s="1"/>
  <c r="L124" i="10"/>
  <c r="K124" i="10"/>
  <c r="J124" i="10"/>
  <c r="I124" i="10"/>
  <c r="N123" i="10"/>
  <c r="L123" i="10"/>
  <c r="K123" i="10"/>
  <c r="J123" i="10"/>
  <c r="I123" i="10" s="1"/>
  <c r="N122" i="10"/>
  <c r="L122" i="10"/>
  <c r="K122" i="10"/>
  <c r="J122" i="10"/>
  <c r="N121" i="10"/>
  <c r="M121" i="10"/>
  <c r="L121" i="10"/>
  <c r="K121" i="10"/>
  <c r="J121" i="10"/>
  <c r="H121" i="10"/>
  <c r="I121" i="10"/>
  <c r="N120" i="10"/>
  <c r="L120" i="10"/>
  <c r="K120" i="10"/>
  <c r="J120" i="10"/>
  <c r="I120" i="10" s="1"/>
  <c r="N119" i="10"/>
  <c r="L119" i="10"/>
  <c r="K119" i="10"/>
  <c r="J119" i="10"/>
  <c r="I119" i="10"/>
  <c r="H119" i="10"/>
  <c r="N117" i="10"/>
  <c r="L117" i="10"/>
  <c r="K117" i="10"/>
  <c r="J117" i="10"/>
  <c r="I117" i="10" s="1"/>
  <c r="H117" i="10"/>
  <c r="N116" i="10"/>
  <c r="L116" i="10"/>
  <c r="K116" i="10"/>
  <c r="J116" i="10"/>
  <c r="N115" i="10"/>
  <c r="L115" i="10"/>
  <c r="K115" i="10"/>
  <c r="J115" i="10"/>
  <c r="I115" i="10" s="1"/>
  <c r="N114" i="10"/>
  <c r="L114" i="10"/>
  <c r="K114" i="10"/>
  <c r="J114" i="10"/>
  <c r="I114" i="10" s="1"/>
  <c r="N113" i="10"/>
  <c r="M113" i="10"/>
  <c r="L113" i="10"/>
  <c r="K113" i="10"/>
  <c r="J113" i="10"/>
  <c r="H113" i="10" s="1"/>
  <c r="N112" i="10"/>
  <c r="K112" i="10"/>
  <c r="L112" i="10"/>
  <c r="J112" i="10"/>
  <c r="I112" i="10" s="1"/>
  <c r="H112" i="10"/>
  <c r="N111" i="10"/>
  <c r="L111" i="10"/>
  <c r="K111" i="10"/>
  <c r="J111" i="10"/>
  <c r="I111" i="10" s="1"/>
  <c r="N110" i="10"/>
  <c r="L110" i="10"/>
  <c r="G110" i="10" s="1"/>
  <c r="K110" i="10"/>
  <c r="J110" i="10"/>
  <c r="H110" i="10" s="1"/>
  <c r="N109" i="10"/>
  <c r="M109" i="10"/>
  <c r="L109" i="10"/>
  <c r="K109" i="10"/>
  <c r="J109" i="10"/>
  <c r="N108" i="10"/>
  <c r="K108" i="10"/>
  <c r="L108" i="10"/>
  <c r="J108" i="10"/>
  <c r="N107" i="10"/>
  <c r="M107" i="10"/>
  <c r="L107" i="10"/>
  <c r="K107" i="10"/>
  <c r="J107" i="10"/>
  <c r="H107" i="10"/>
  <c r="I107" i="10"/>
  <c r="N106" i="10"/>
  <c r="L106" i="10"/>
  <c r="K106" i="10"/>
  <c r="J106" i="10"/>
  <c r="H106" i="10" s="1"/>
  <c r="N105" i="10"/>
  <c r="M105" i="10"/>
  <c r="L105" i="10"/>
  <c r="K105" i="10"/>
  <c r="J105" i="10"/>
  <c r="I105" i="10"/>
  <c r="N103" i="10"/>
  <c r="L103" i="10"/>
  <c r="K103" i="10"/>
  <c r="J103" i="10"/>
  <c r="N102" i="10"/>
  <c r="L102" i="10"/>
  <c r="K102" i="10"/>
  <c r="J102" i="10"/>
  <c r="H102" i="10" s="1"/>
  <c r="I102" i="10"/>
  <c r="N101" i="10"/>
  <c r="L101" i="10"/>
  <c r="K101" i="10"/>
  <c r="J101" i="10"/>
  <c r="H101" i="10"/>
  <c r="N100" i="10"/>
  <c r="L100" i="10"/>
  <c r="K100" i="10"/>
  <c r="J100" i="10"/>
  <c r="I100" i="10" s="1"/>
  <c r="H100" i="10"/>
  <c r="N99" i="10"/>
  <c r="L99" i="10"/>
  <c r="K99" i="10"/>
  <c r="J99" i="10"/>
  <c r="N98" i="10"/>
  <c r="L98" i="10"/>
  <c r="K98" i="10"/>
  <c r="J98" i="10"/>
  <c r="I98" i="10"/>
  <c r="H98" i="10"/>
  <c r="N97" i="10"/>
  <c r="L97" i="10"/>
  <c r="K97" i="10"/>
  <c r="J97" i="10"/>
  <c r="H97" i="10" s="1"/>
  <c r="N96" i="10"/>
  <c r="L96" i="10"/>
  <c r="K96" i="10"/>
  <c r="J96" i="10"/>
  <c r="I96" i="10" s="1"/>
  <c r="N95" i="10"/>
  <c r="L95" i="10"/>
  <c r="K95" i="10"/>
  <c r="J95" i="10"/>
  <c r="H95" i="10"/>
  <c r="I95" i="10"/>
  <c r="N94" i="10"/>
  <c r="L94" i="10"/>
  <c r="K94" i="10"/>
  <c r="J94" i="10"/>
  <c r="I94" i="10" s="1"/>
  <c r="N93" i="10"/>
  <c r="L93" i="10"/>
  <c r="K93" i="10"/>
  <c r="J93" i="10"/>
  <c r="H93" i="10" s="1"/>
  <c r="N92" i="10"/>
  <c r="M92" i="10"/>
  <c r="L92" i="10"/>
  <c r="K92" i="10"/>
  <c r="J92" i="10"/>
  <c r="I92" i="10" s="1"/>
  <c r="H92" i="10"/>
  <c r="N91" i="10"/>
  <c r="M91" i="10"/>
  <c r="G91" i="10" s="1"/>
  <c r="K91" i="10"/>
  <c r="L91" i="10"/>
  <c r="J91" i="10"/>
  <c r="N89" i="10"/>
  <c r="L89" i="10"/>
  <c r="J89" i="10"/>
  <c r="I89" i="10"/>
  <c r="N88" i="10"/>
  <c r="L88" i="10"/>
  <c r="J88" i="10"/>
  <c r="N87" i="10"/>
  <c r="M87" i="10"/>
  <c r="G87" i="10" s="1"/>
  <c r="L87" i="10"/>
  <c r="P76" i="10"/>
  <c r="K87" i="10"/>
  <c r="J87" i="10"/>
  <c r="N86" i="10"/>
  <c r="L86" i="10"/>
  <c r="J86" i="10"/>
  <c r="H86" i="10" s="1"/>
  <c r="N85" i="10"/>
  <c r="M85" i="10"/>
  <c r="L85" i="10"/>
  <c r="K85" i="10"/>
  <c r="J85" i="10"/>
  <c r="H85" i="10" s="1"/>
  <c r="N84" i="10"/>
  <c r="L84" i="10"/>
  <c r="J84" i="10"/>
  <c r="H84" i="10" s="1"/>
  <c r="N83" i="10"/>
  <c r="L83" i="10"/>
  <c r="K83" i="10"/>
  <c r="J83" i="10"/>
  <c r="H83" i="10" s="1"/>
  <c r="N82" i="10"/>
  <c r="L82" i="10"/>
  <c r="J82" i="10"/>
  <c r="N81" i="10"/>
  <c r="L81" i="10"/>
  <c r="J81" i="10"/>
  <c r="I81" i="10" s="1"/>
  <c r="N80" i="10"/>
  <c r="M80" i="10"/>
  <c r="L80" i="10"/>
  <c r="J80" i="10"/>
  <c r="I80" i="10" s="1"/>
  <c r="N79" i="10"/>
  <c r="M79" i="10"/>
  <c r="K79" i="10"/>
  <c r="L79" i="10"/>
  <c r="G79" i="10"/>
  <c r="J79" i="10"/>
  <c r="N78" i="10"/>
  <c r="L78" i="10"/>
  <c r="J78" i="10"/>
  <c r="H78" i="10" s="1"/>
  <c r="N77" i="10"/>
  <c r="M77" i="10"/>
  <c r="L77" i="10"/>
  <c r="J77" i="10"/>
  <c r="N75" i="10"/>
  <c r="M75" i="10"/>
  <c r="L75" i="10"/>
  <c r="K75" i="10"/>
  <c r="J75" i="10"/>
  <c r="H75" i="10"/>
  <c r="N74" i="10"/>
  <c r="L74" i="10"/>
  <c r="K74" i="10"/>
  <c r="J74" i="10"/>
  <c r="H74" i="10"/>
  <c r="N73" i="10"/>
  <c r="L73" i="10"/>
  <c r="K73" i="10"/>
  <c r="J73" i="10"/>
  <c r="N72" i="10"/>
  <c r="L72" i="10"/>
  <c r="K72" i="10"/>
  <c r="J72" i="10"/>
  <c r="H72" i="10"/>
  <c r="N71" i="10"/>
  <c r="M71" i="10"/>
  <c r="L71" i="10"/>
  <c r="K71" i="10"/>
  <c r="J71" i="10"/>
  <c r="H71" i="10"/>
  <c r="N70" i="10"/>
  <c r="L70" i="10"/>
  <c r="K70" i="10"/>
  <c r="J70" i="10"/>
  <c r="I70" i="10" s="1"/>
  <c r="N69" i="10"/>
  <c r="M69" i="10"/>
  <c r="L69" i="10"/>
  <c r="K69" i="10"/>
  <c r="J69" i="10"/>
  <c r="H69" i="10" s="1"/>
  <c r="F69" i="10" s="1"/>
  <c r="G69" i="10"/>
  <c r="N68" i="10"/>
  <c r="L68" i="10"/>
  <c r="K68" i="10"/>
  <c r="J68" i="10"/>
  <c r="N67" i="10"/>
  <c r="L67" i="10"/>
  <c r="K67" i="10"/>
  <c r="J67" i="10"/>
  <c r="N66" i="10"/>
  <c r="L66" i="10"/>
  <c r="K66" i="10"/>
  <c r="J66" i="10"/>
  <c r="N65" i="10"/>
  <c r="L65" i="10"/>
  <c r="K65" i="10"/>
  <c r="J65" i="10"/>
  <c r="N64" i="10"/>
  <c r="L64" i="10"/>
  <c r="K64" i="10"/>
  <c r="J64" i="10"/>
  <c r="N63" i="10"/>
  <c r="M63" i="10"/>
  <c r="L63" i="10"/>
  <c r="K63" i="10"/>
  <c r="J63" i="10"/>
  <c r="N61" i="10"/>
  <c r="L61" i="10"/>
  <c r="K61" i="10"/>
  <c r="J61" i="10"/>
  <c r="N60" i="10"/>
  <c r="L60" i="10"/>
  <c r="G60" i="10" s="1"/>
  <c r="K60" i="10"/>
  <c r="J60" i="10"/>
  <c r="N59" i="10"/>
  <c r="L59" i="10"/>
  <c r="K59" i="10"/>
  <c r="J59" i="10"/>
  <c r="N58" i="10"/>
  <c r="M58" i="10"/>
  <c r="L58" i="10"/>
  <c r="K58" i="10"/>
  <c r="J58" i="10"/>
  <c r="G58" i="10"/>
  <c r="N57" i="10"/>
  <c r="L57" i="10"/>
  <c r="K57" i="10"/>
  <c r="J57" i="10"/>
  <c r="N56" i="10"/>
  <c r="L56" i="10"/>
  <c r="K56" i="10"/>
  <c r="J56" i="10"/>
  <c r="H56" i="10" s="1"/>
  <c r="N55" i="10"/>
  <c r="L55" i="10"/>
  <c r="K55" i="10"/>
  <c r="J55" i="10"/>
  <c r="N54" i="10"/>
  <c r="M54" i="10"/>
  <c r="L54" i="10"/>
  <c r="K54" i="10"/>
  <c r="J54" i="10"/>
  <c r="N53" i="10"/>
  <c r="L53" i="10"/>
  <c r="K53" i="10"/>
  <c r="J53" i="10"/>
  <c r="N52" i="10"/>
  <c r="L52" i="10"/>
  <c r="K52" i="10"/>
  <c r="J52" i="10"/>
  <c r="N51" i="10"/>
  <c r="L51" i="10"/>
  <c r="K51" i="10"/>
  <c r="J51" i="10"/>
  <c r="N50" i="10"/>
  <c r="M50" i="10"/>
  <c r="L50" i="10"/>
  <c r="K50" i="10"/>
  <c r="J50" i="10"/>
  <c r="N49" i="10"/>
  <c r="L49" i="10"/>
  <c r="K49" i="10"/>
  <c r="J49" i="10"/>
  <c r="N47" i="10"/>
  <c r="L47" i="10"/>
  <c r="K47" i="10"/>
  <c r="J47" i="10"/>
  <c r="N46" i="10"/>
  <c r="L46" i="10"/>
  <c r="K46" i="10"/>
  <c r="J46" i="10"/>
  <c r="N45" i="10"/>
  <c r="L45" i="10"/>
  <c r="K45" i="10"/>
  <c r="J45" i="10"/>
  <c r="N44" i="10"/>
  <c r="L44" i="10"/>
  <c r="K44" i="10"/>
  <c r="J44" i="10"/>
  <c r="N43" i="10"/>
  <c r="L43" i="10"/>
  <c r="K43" i="10"/>
  <c r="J43" i="10"/>
  <c r="N42" i="10"/>
  <c r="M42" i="10"/>
  <c r="G42" i="10" s="1"/>
  <c r="L42" i="10"/>
  <c r="K42" i="10"/>
  <c r="J42" i="10"/>
  <c r="N41" i="10"/>
  <c r="L41" i="10"/>
  <c r="K41" i="10"/>
  <c r="J41" i="10"/>
  <c r="N40" i="10"/>
  <c r="M40" i="10"/>
  <c r="L40" i="10"/>
  <c r="K40" i="10"/>
  <c r="J40" i="10"/>
  <c r="N39" i="10"/>
  <c r="L39" i="10"/>
  <c r="K39" i="10"/>
  <c r="J39" i="10"/>
  <c r="N38" i="10"/>
  <c r="M38" i="10"/>
  <c r="L38" i="10"/>
  <c r="K38" i="10"/>
  <c r="G38" i="10" s="1"/>
  <c r="J38" i="10"/>
  <c r="N37" i="10"/>
  <c r="L37" i="10"/>
  <c r="K37" i="10"/>
  <c r="G37" i="10" s="1"/>
  <c r="F37" i="10" s="1"/>
  <c r="J37" i="10"/>
  <c r="H37" i="10" s="1"/>
  <c r="N36" i="10"/>
  <c r="M36" i="10"/>
  <c r="L36" i="10"/>
  <c r="K36" i="10"/>
  <c r="J36" i="10"/>
  <c r="N35" i="10"/>
  <c r="L35" i="10"/>
  <c r="K35" i="10"/>
  <c r="J35" i="10"/>
  <c r="H35" i="10"/>
  <c r="N33" i="10"/>
  <c r="M33" i="10"/>
  <c r="L33" i="10"/>
  <c r="K33" i="10"/>
  <c r="J33" i="10"/>
  <c r="N32" i="10"/>
  <c r="L32" i="10"/>
  <c r="K32" i="10"/>
  <c r="J32" i="10"/>
  <c r="H32" i="10" s="1"/>
  <c r="N31" i="10"/>
  <c r="M31" i="10"/>
  <c r="L31" i="10"/>
  <c r="K31" i="10"/>
  <c r="J31" i="10"/>
  <c r="I31" i="10"/>
  <c r="N30" i="10"/>
  <c r="L30" i="10"/>
  <c r="K30" i="10"/>
  <c r="J30" i="10"/>
  <c r="I30" i="10" s="1"/>
  <c r="N29" i="10"/>
  <c r="L29" i="10"/>
  <c r="K29" i="10"/>
  <c r="J29" i="10"/>
  <c r="I29" i="10" s="1"/>
  <c r="N28" i="10"/>
  <c r="L28" i="10"/>
  <c r="K28" i="10"/>
  <c r="J28" i="10"/>
  <c r="I28" i="10" s="1"/>
  <c r="N27" i="10"/>
  <c r="M27" i="10"/>
  <c r="L27" i="10"/>
  <c r="K27" i="10"/>
  <c r="J27" i="10"/>
  <c r="I27" i="10"/>
  <c r="N26" i="10"/>
  <c r="L26" i="10"/>
  <c r="K26" i="10"/>
  <c r="J26" i="10"/>
  <c r="N25" i="10"/>
  <c r="M25" i="10"/>
  <c r="L25" i="10"/>
  <c r="K25" i="10"/>
  <c r="J25" i="10"/>
  <c r="I25" i="10"/>
  <c r="N24" i="10"/>
  <c r="L24" i="10"/>
  <c r="K24" i="10"/>
  <c r="J24" i="10"/>
  <c r="I24" i="10"/>
  <c r="N23" i="10"/>
  <c r="L23" i="10"/>
  <c r="K23" i="10"/>
  <c r="J23" i="10"/>
  <c r="N22" i="10"/>
  <c r="L22" i="10"/>
  <c r="K22" i="10"/>
  <c r="J22" i="10"/>
  <c r="I22" i="10"/>
  <c r="N21" i="10"/>
  <c r="L21" i="10"/>
  <c r="K21" i="10"/>
  <c r="J21" i="10"/>
  <c r="I21" i="10" s="1"/>
  <c r="N19" i="10"/>
  <c r="L19" i="10"/>
  <c r="K19" i="10"/>
  <c r="J19" i="10"/>
  <c r="I19" i="10"/>
  <c r="N18" i="10"/>
  <c r="M18" i="10"/>
  <c r="L18" i="10"/>
  <c r="K18" i="10"/>
  <c r="J18" i="10"/>
  <c r="I18" i="10"/>
  <c r="N17" i="10"/>
  <c r="L17" i="10"/>
  <c r="K17" i="10"/>
  <c r="J17" i="10"/>
  <c r="I17" i="10" s="1"/>
  <c r="N16" i="10"/>
  <c r="L16" i="10"/>
  <c r="K16" i="10"/>
  <c r="J16" i="10"/>
  <c r="I16" i="10" s="1"/>
  <c r="N15" i="10"/>
  <c r="L15" i="10"/>
  <c r="K15" i="10"/>
  <c r="J15" i="10"/>
  <c r="I15" i="10"/>
  <c r="N14" i="10"/>
  <c r="M14" i="10"/>
  <c r="L14" i="10"/>
  <c r="K14" i="10"/>
  <c r="J14" i="10"/>
  <c r="I14" i="10" s="1"/>
  <c r="N13" i="10"/>
  <c r="L13" i="10"/>
  <c r="K13" i="10"/>
  <c r="J13" i="10"/>
  <c r="I13" i="10" s="1"/>
  <c r="N12" i="10"/>
  <c r="L12" i="10"/>
  <c r="K12" i="10"/>
  <c r="J12" i="10"/>
  <c r="I12" i="10"/>
  <c r="N11" i="10"/>
  <c r="L11" i="10"/>
  <c r="K11" i="10"/>
  <c r="J11" i="10"/>
  <c r="I11" i="10"/>
  <c r="N10" i="10"/>
  <c r="L10" i="10"/>
  <c r="K10" i="10"/>
  <c r="J10" i="10"/>
  <c r="I10" i="10" s="1"/>
  <c r="N9" i="10"/>
  <c r="L9" i="10"/>
  <c r="K9" i="10"/>
  <c r="J9" i="10"/>
  <c r="I9" i="10"/>
  <c r="N8" i="10"/>
  <c r="M8" i="10"/>
  <c r="L8" i="10"/>
  <c r="K8" i="10"/>
  <c r="G8" i="10" s="1"/>
  <c r="F8" i="10" s="1"/>
  <c r="E8" i="10" s="1"/>
  <c r="J8" i="10"/>
  <c r="I8" i="10" s="1"/>
  <c r="N7" i="10"/>
  <c r="L7" i="10"/>
  <c r="K7" i="10"/>
  <c r="J7" i="10"/>
  <c r="I7" i="10" s="1"/>
  <c r="N240" i="5"/>
  <c r="N239" i="5"/>
  <c r="N238" i="5"/>
  <c r="N237" i="5"/>
  <c r="N236" i="5"/>
  <c r="N234" i="5"/>
  <c r="N233" i="5"/>
  <c r="N232" i="5"/>
  <c r="N199" i="5"/>
  <c r="N198" i="5"/>
  <c r="N197" i="5"/>
  <c r="N196" i="5"/>
  <c r="N195" i="5"/>
  <c r="N194" i="5"/>
  <c r="N193" i="5"/>
  <c r="N192" i="5"/>
  <c r="N191" i="5"/>
  <c r="N190" i="5"/>
  <c r="N189" i="5"/>
  <c r="N187" i="7"/>
  <c r="M187" i="7"/>
  <c r="L187" i="7"/>
  <c r="G187" i="7" s="1"/>
  <c r="J187" i="7"/>
  <c r="H187" i="7" s="1"/>
  <c r="K187" i="7"/>
  <c r="I187" i="7"/>
  <c r="N186" i="7"/>
  <c r="M186" i="7"/>
  <c r="L186" i="7"/>
  <c r="K186" i="7"/>
  <c r="J186" i="7"/>
  <c r="N185" i="7"/>
  <c r="L185" i="7"/>
  <c r="J185" i="7"/>
  <c r="N184" i="7"/>
  <c r="L184" i="7"/>
  <c r="J184" i="7"/>
  <c r="H184" i="7"/>
  <c r="N183" i="7"/>
  <c r="L183" i="7"/>
  <c r="J183" i="7"/>
  <c r="I183" i="7"/>
  <c r="N182" i="7"/>
  <c r="L182" i="7"/>
  <c r="J182" i="7"/>
  <c r="N181" i="7"/>
  <c r="L181" i="7"/>
  <c r="J181" i="7"/>
  <c r="I181" i="7" s="1"/>
  <c r="N180" i="7"/>
  <c r="L180" i="7"/>
  <c r="J180" i="7"/>
  <c r="H180" i="7" s="1"/>
  <c r="N179" i="7"/>
  <c r="L179" i="7"/>
  <c r="G179" i="7" s="1"/>
  <c r="J179" i="7"/>
  <c r="H179" i="7" s="1"/>
  <c r="N178" i="7"/>
  <c r="L178" i="7"/>
  <c r="J178" i="7"/>
  <c r="H178" i="7" s="1"/>
  <c r="N177" i="7"/>
  <c r="L177" i="7"/>
  <c r="J177" i="7"/>
  <c r="I177" i="7" s="1"/>
  <c r="N176" i="7"/>
  <c r="L176" i="7"/>
  <c r="J176" i="7"/>
  <c r="N175" i="7"/>
  <c r="L175" i="7"/>
  <c r="G175" i="7" s="1"/>
  <c r="J175" i="7"/>
  <c r="H175" i="7" s="1"/>
  <c r="N173" i="7"/>
  <c r="M173" i="7"/>
  <c r="L173" i="7"/>
  <c r="J173" i="7"/>
  <c r="I173" i="7" s="1"/>
  <c r="N172" i="7"/>
  <c r="M172" i="7"/>
  <c r="G172" i="7" s="1"/>
  <c r="L172" i="7"/>
  <c r="P160" i="7"/>
  <c r="K172" i="7"/>
  <c r="J172" i="7"/>
  <c r="N171" i="7"/>
  <c r="M171" i="7"/>
  <c r="L171" i="7"/>
  <c r="J171" i="7"/>
  <c r="N170" i="7"/>
  <c r="M170" i="7"/>
  <c r="L170" i="7"/>
  <c r="G170" i="7" s="1"/>
  <c r="F170" i="7" s="1"/>
  <c r="E170" i="7" s="1"/>
  <c r="D170" i="7" s="1"/>
  <c r="Q170" i="7" s="1"/>
  <c r="K170" i="7"/>
  <c r="J170" i="7"/>
  <c r="I170" i="7"/>
  <c r="N169" i="7"/>
  <c r="M169" i="7"/>
  <c r="L169" i="7"/>
  <c r="J169" i="7"/>
  <c r="H169" i="7"/>
  <c r="N168" i="7"/>
  <c r="M168" i="7"/>
  <c r="L168" i="7"/>
  <c r="K168" i="7"/>
  <c r="J168" i="7"/>
  <c r="I168" i="7" s="1"/>
  <c r="N167" i="7"/>
  <c r="M167" i="7"/>
  <c r="L167" i="7"/>
  <c r="J167" i="7"/>
  <c r="H167" i="7"/>
  <c r="N166" i="7"/>
  <c r="M166" i="7"/>
  <c r="L166" i="7"/>
  <c r="J166" i="7"/>
  <c r="H166" i="7" s="1"/>
  <c r="N165" i="7"/>
  <c r="M165" i="7"/>
  <c r="L165" i="7"/>
  <c r="J165" i="7"/>
  <c r="N164" i="7"/>
  <c r="M164" i="7"/>
  <c r="L164" i="7"/>
  <c r="J164" i="7"/>
  <c r="N163" i="7"/>
  <c r="M163" i="7"/>
  <c r="L163" i="7"/>
  <c r="J163" i="7"/>
  <c r="I163" i="7"/>
  <c r="N162" i="7"/>
  <c r="M162" i="7"/>
  <c r="L162" i="7"/>
  <c r="J162" i="7"/>
  <c r="H162" i="7" s="1"/>
  <c r="N161" i="7"/>
  <c r="M161" i="7"/>
  <c r="L161" i="7"/>
  <c r="J161" i="7"/>
  <c r="H161" i="7"/>
  <c r="N159" i="7"/>
  <c r="M159" i="7"/>
  <c r="L159" i="7"/>
  <c r="J159" i="7"/>
  <c r="N158" i="7"/>
  <c r="M158" i="7"/>
  <c r="L158" i="7"/>
  <c r="J158" i="7"/>
  <c r="I158" i="7" s="1"/>
  <c r="N157" i="7"/>
  <c r="M157" i="7"/>
  <c r="L157" i="7"/>
  <c r="K157" i="7"/>
  <c r="J157" i="7"/>
  <c r="N156" i="7"/>
  <c r="M156" i="7"/>
  <c r="L156" i="7"/>
  <c r="K156" i="7"/>
  <c r="J156" i="7"/>
  <c r="N155" i="7"/>
  <c r="M155" i="7"/>
  <c r="L155" i="7"/>
  <c r="K155" i="7"/>
  <c r="J155" i="7"/>
  <c r="N154" i="7"/>
  <c r="M154" i="7"/>
  <c r="L154" i="7"/>
  <c r="G154" i="7" s="1"/>
  <c r="F154" i="7" s="1"/>
  <c r="K154" i="7"/>
  <c r="J154" i="7"/>
  <c r="H154" i="7" s="1"/>
  <c r="N153" i="7"/>
  <c r="M153" i="7"/>
  <c r="L153" i="7"/>
  <c r="K153" i="7"/>
  <c r="J153" i="7"/>
  <c r="N152" i="7"/>
  <c r="M152" i="7"/>
  <c r="L152" i="7"/>
  <c r="K152" i="7"/>
  <c r="J152" i="7"/>
  <c r="N151" i="7"/>
  <c r="M151" i="7"/>
  <c r="L151" i="7"/>
  <c r="K151" i="7"/>
  <c r="J151" i="7"/>
  <c r="H151" i="7" s="1"/>
  <c r="N150" i="7"/>
  <c r="M150" i="7"/>
  <c r="L150" i="7"/>
  <c r="J150" i="7"/>
  <c r="I150" i="7"/>
  <c r="N149" i="7"/>
  <c r="M149" i="7"/>
  <c r="L149" i="7"/>
  <c r="J149" i="7"/>
  <c r="N148" i="7"/>
  <c r="M148" i="7"/>
  <c r="L148" i="7"/>
  <c r="J148" i="7"/>
  <c r="H148" i="7"/>
  <c r="N147" i="7"/>
  <c r="M147" i="7"/>
  <c r="L147" i="7"/>
  <c r="J147" i="7"/>
  <c r="P146" i="7"/>
  <c r="N145" i="7"/>
  <c r="M145" i="7"/>
  <c r="L145" i="7"/>
  <c r="J145" i="7"/>
  <c r="N144" i="7"/>
  <c r="M144" i="7"/>
  <c r="L144" i="7"/>
  <c r="P132" i="7"/>
  <c r="K144" i="7" s="1"/>
  <c r="G144" i="7" s="1"/>
  <c r="J144" i="7"/>
  <c r="H144" i="7"/>
  <c r="N143" i="7"/>
  <c r="M143" i="7"/>
  <c r="L143" i="7"/>
  <c r="J143" i="7"/>
  <c r="I143" i="7" s="1"/>
  <c r="N142" i="7"/>
  <c r="M142" i="7"/>
  <c r="L142" i="7"/>
  <c r="J142" i="7"/>
  <c r="N141" i="7"/>
  <c r="M141" i="7"/>
  <c r="L141" i="7"/>
  <c r="J141" i="7"/>
  <c r="I141" i="7"/>
  <c r="N140" i="7"/>
  <c r="M140" i="7"/>
  <c r="L140" i="7"/>
  <c r="J140" i="7"/>
  <c r="N139" i="7"/>
  <c r="M139" i="7"/>
  <c r="L139" i="7"/>
  <c r="J139" i="7"/>
  <c r="N138" i="7"/>
  <c r="M138" i="7"/>
  <c r="L138" i="7"/>
  <c r="J138" i="7"/>
  <c r="I138" i="7" s="1"/>
  <c r="N137" i="7"/>
  <c r="M137" i="7"/>
  <c r="L137" i="7"/>
  <c r="J137" i="7"/>
  <c r="H137" i="7" s="1"/>
  <c r="N136" i="7"/>
  <c r="M136" i="7"/>
  <c r="L136" i="7"/>
  <c r="J136" i="7"/>
  <c r="I136" i="7" s="1"/>
  <c r="N135" i="7"/>
  <c r="M135" i="7"/>
  <c r="L135" i="7"/>
  <c r="J135" i="7"/>
  <c r="H135" i="7"/>
  <c r="N134" i="7"/>
  <c r="M134" i="7"/>
  <c r="L134" i="7"/>
  <c r="J134" i="7"/>
  <c r="N133" i="7"/>
  <c r="M133" i="7"/>
  <c r="L133" i="7"/>
  <c r="J133" i="7"/>
  <c r="K135" i="7"/>
  <c r="N131" i="7"/>
  <c r="M131" i="7"/>
  <c r="L131" i="7"/>
  <c r="K131" i="7"/>
  <c r="J131" i="7"/>
  <c r="N130" i="7"/>
  <c r="M130" i="7"/>
  <c r="L130" i="7"/>
  <c r="G130" i="7" s="1"/>
  <c r="F130" i="7" s="1"/>
  <c r="K130" i="7"/>
  <c r="J130" i="7"/>
  <c r="H130" i="7"/>
  <c r="N129" i="7"/>
  <c r="M129" i="7"/>
  <c r="L129" i="7"/>
  <c r="K129" i="7"/>
  <c r="J129" i="7"/>
  <c r="N128" i="7"/>
  <c r="M128" i="7"/>
  <c r="L128" i="7"/>
  <c r="G128" i="7" s="1"/>
  <c r="K128" i="7"/>
  <c r="J128" i="7"/>
  <c r="N127" i="7"/>
  <c r="M127" i="7"/>
  <c r="L127" i="7"/>
  <c r="K127" i="7"/>
  <c r="J127" i="7"/>
  <c r="I127" i="7"/>
  <c r="N126" i="7"/>
  <c r="M126" i="7"/>
  <c r="L126" i="7"/>
  <c r="K126" i="7"/>
  <c r="J126" i="7"/>
  <c r="H126" i="7" s="1"/>
  <c r="N125" i="7"/>
  <c r="M125" i="7"/>
  <c r="L125" i="7"/>
  <c r="G125" i="7" s="1"/>
  <c r="K125" i="7"/>
  <c r="J125" i="7"/>
  <c r="I125" i="7"/>
  <c r="N124" i="7"/>
  <c r="M124" i="7"/>
  <c r="L124" i="7"/>
  <c r="K124" i="7"/>
  <c r="J124" i="7"/>
  <c r="N123" i="7"/>
  <c r="M123" i="7"/>
  <c r="L123" i="7"/>
  <c r="K123" i="7"/>
  <c r="J123" i="7"/>
  <c r="N122" i="7"/>
  <c r="M122" i="7"/>
  <c r="L122" i="7"/>
  <c r="G122" i="7" s="1"/>
  <c r="F122" i="7" s="1"/>
  <c r="K122" i="7"/>
  <c r="J122" i="7"/>
  <c r="H122" i="7"/>
  <c r="I122" i="7"/>
  <c r="N121" i="7"/>
  <c r="M121" i="7"/>
  <c r="L121" i="7"/>
  <c r="K121" i="7"/>
  <c r="J121" i="7"/>
  <c r="I121" i="7"/>
  <c r="N120" i="7"/>
  <c r="M120" i="7"/>
  <c r="L120" i="7"/>
  <c r="P118" i="7"/>
  <c r="K120" i="7"/>
  <c r="J120" i="7"/>
  <c r="N119" i="7"/>
  <c r="M119" i="7"/>
  <c r="L119" i="7"/>
  <c r="K119" i="7"/>
  <c r="J119" i="7"/>
  <c r="N117" i="7"/>
  <c r="M117" i="7"/>
  <c r="L117" i="7"/>
  <c r="K117" i="7"/>
  <c r="J117" i="7"/>
  <c r="I117" i="7"/>
  <c r="N116" i="7"/>
  <c r="M116" i="7"/>
  <c r="L116" i="7"/>
  <c r="K116" i="7"/>
  <c r="J116" i="7"/>
  <c r="N115" i="7"/>
  <c r="M115" i="7"/>
  <c r="L115" i="7"/>
  <c r="K115" i="7"/>
  <c r="J115" i="7"/>
  <c r="H115" i="7"/>
  <c r="N114" i="7"/>
  <c r="M114" i="7"/>
  <c r="L114" i="7"/>
  <c r="K114" i="7"/>
  <c r="J114" i="7"/>
  <c r="I114" i="7"/>
  <c r="N113" i="7"/>
  <c r="M113" i="7"/>
  <c r="L113" i="7"/>
  <c r="K113" i="7"/>
  <c r="J113" i="7"/>
  <c r="N112" i="7"/>
  <c r="M112" i="7"/>
  <c r="L112" i="7"/>
  <c r="G112" i="7" s="1"/>
  <c r="K112" i="7"/>
  <c r="J112" i="7"/>
  <c r="N111" i="7"/>
  <c r="M111" i="7"/>
  <c r="L111" i="7"/>
  <c r="K111" i="7"/>
  <c r="J111" i="7"/>
  <c r="H111" i="7"/>
  <c r="N110" i="7"/>
  <c r="M110" i="7"/>
  <c r="L110" i="7"/>
  <c r="K110" i="7"/>
  <c r="J110" i="7"/>
  <c r="N109" i="7"/>
  <c r="M109" i="7"/>
  <c r="L109" i="7"/>
  <c r="G109" i="7" s="1"/>
  <c r="K109" i="7"/>
  <c r="J109" i="7"/>
  <c r="I109" i="7"/>
  <c r="N108" i="7"/>
  <c r="M108" i="7"/>
  <c r="L108" i="7"/>
  <c r="K108" i="7"/>
  <c r="J108" i="7"/>
  <c r="N107" i="7"/>
  <c r="M107" i="7"/>
  <c r="L107" i="7"/>
  <c r="K107" i="7"/>
  <c r="J107" i="7"/>
  <c r="N106" i="7"/>
  <c r="M106" i="7"/>
  <c r="L106" i="7"/>
  <c r="G106" i="7" s="1"/>
  <c r="F106" i="7" s="1"/>
  <c r="K106" i="7"/>
  <c r="J106" i="7"/>
  <c r="H106" i="7"/>
  <c r="I106" i="7"/>
  <c r="N105" i="7"/>
  <c r="M105" i="7"/>
  <c r="L105" i="7"/>
  <c r="P104" i="7"/>
  <c r="K105" i="7" s="1"/>
  <c r="J105" i="7"/>
  <c r="H105" i="7" s="1"/>
  <c r="I105" i="7"/>
  <c r="N103" i="7"/>
  <c r="M103" i="7"/>
  <c r="L103" i="7"/>
  <c r="J103" i="7"/>
  <c r="N102" i="7"/>
  <c r="M102" i="7"/>
  <c r="L102" i="7"/>
  <c r="J102" i="7"/>
  <c r="N101" i="7"/>
  <c r="M101" i="7"/>
  <c r="L101" i="7"/>
  <c r="J101" i="7"/>
  <c r="N100" i="7"/>
  <c r="M100" i="7"/>
  <c r="L100" i="7"/>
  <c r="J100" i="7"/>
  <c r="H100" i="7"/>
  <c r="N99" i="7"/>
  <c r="M99" i="7"/>
  <c r="L99" i="7"/>
  <c r="J99" i="7"/>
  <c r="N98" i="7"/>
  <c r="M98" i="7"/>
  <c r="L98" i="7"/>
  <c r="J98" i="7"/>
  <c r="H98" i="7" s="1"/>
  <c r="N97" i="7"/>
  <c r="M97" i="7"/>
  <c r="L97" i="7"/>
  <c r="J97" i="7"/>
  <c r="I97" i="7" s="1"/>
  <c r="N96" i="7"/>
  <c r="M96" i="7"/>
  <c r="L96" i="7"/>
  <c r="J96" i="7"/>
  <c r="N95" i="7"/>
  <c r="M95" i="7"/>
  <c r="L95" i="7"/>
  <c r="J95" i="7"/>
  <c r="N94" i="7"/>
  <c r="M94" i="7"/>
  <c r="L94" i="7"/>
  <c r="J94" i="7"/>
  <c r="N93" i="7"/>
  <c r="M93" i="7"/>
  <c r="L93" i="7"/>
  <c r="J93" i="7"/>
  <c r="H93" i="7" s="1"/>
  <c r="N92" i="7"/>
  <c r="M92" i="7"/>
  <c r="L92" i="7"/>
  <c r="J92" i="7"/>
  <c r="N91" i="7"/>
  <c r="M91" i="7"/>
  <c r="L91" i="7"/>
  <c r="J91" i="7"/>
  <c r="H91" i="7"/>
  <c r="N89" i="7"/>
  <c r="M89" i="7"/>
  <c r="L89" i="7"/>
  <c r="J89" i="7"/>
  <c r="H89" i="7"/>
  <c r="N88" i="7"/>
  <c r="M88" i="7"/>
  <c r="L88" i="7"/>
  <c r="J88" i="7"/>
  <c r="N87" i="7"/>
  <c r="M87" i="7"/>
  <c r="L87" i="7"/>
  <c r="P76" i="7"/>
  <c r="K81" i="7" s="1"/>
  <c r="J87" i="7"/>
  <c r="I87" i="7"/>
  <c r="N86" i="7"/>
  <c r="M86" i="7"/>
  <c r="L86" i="7"/>
  <c r="J86" i="7"/>
  <c r="I86" i="7"/>
  <c r="N85" i="7"/>
  <c r="M85" i="7"/>
  <c r="L85" i="7"/>
  <c r="J85" i="7"/>
  <c r="I85" i="7" s="1"/>
  <c r="N84" i="7"/>
  <c r="M84" i="7"/>
  <c r="L84" i="7"/>
  <c r="J84" i="7"/>
  <c r="H84" i="7"/>
  <c r="N83" i="7"/>
  <c r="M83" i="7"/>
  <c r="L83" i="7"/>
  <c r="J83" i="7"/>
  <c r="N82" i="7"/>
  <c r="M82" i="7"/>
  <c r="L82" i="7"/>
  <c r="J82" i="7"/>
  <c r="H82" i="7" s="1"/>
  <c r="N81" i="7"/>
  <c r="M81" i="7"/>
  <c r="L81" i="7"/>
  <c r="J81" i="7"/>
  <c r="N80" i="7"/>
  <c r="M80" i="7"/>
  <c r="L80" i="7"/>
  <c r="J80" i="7"/>
  <c r="I80" i="7" s="1"/>
  <c r="H80" i="7"/>
  <c r="N79" i="7"/>
  <c r="M79" i="7"/>
  <c r="L79" i="7"/>
  <c r="K79" i="7"/>
  <c r="J79" i="7"/>
  <c r="N78" i="7"/>
  <c r="M78" i="7"/>
  <c r="L78" i="7"/>
  <c r="J78" i="7"/>
  <c r="H78" i="7"/>
  <c r="I78" i="7"/>
  <c r="N77" i="7"/>
  <c r="M77" i="7"/>
  <c r="L77" i="7"/>
  <c r="K77" i="7"/>
  <c r="J77" i="7"/>
  <c r="H77" i="7"/>
  <c r="K84" i="7"/>
  <c r="N75" i="7"/>
  <c r="M75" i="7"/>
  <c r="L75" i="7"/>
  <c r="J75" i="7"/>
  <c r="N74" i="7"/>
  <c r="M74" i="7"/>
  <c r="L74" i="7"/>
  <c r="J74" i="7"/>
  <c r="H74" i="7"/>
  <c r="N73" i="7"/>
  <c r="M73" i="7"/>
  <c r="L73" i="7"/>
  <c r="J73" i="7"/>
  <c r="I73" i="7" s="1"/>
  <c r="N72" i="7"/>
  <c r="M72" i="7"/>
  <c r="L72" i="7"/>
  <c r="J72" i="7"/>
  <c r="N71" i="7"/>
  <c r="M71" i="7"/>
  <c r="L71" i="7"/>
  <c r="J71" i="7"/>
  <c r="H71" i="7"/>
  <c r="N70" i="7"/>
  <c r="M70" i="7"/>
  <c r="L70" i="7"/>
  <c r="P62" i="7"/>
  <c r="K68" i="7" s="1"/>
  <c r="J70" i="7"/>
  <c r="N69" i="7"/>
  <c r="M69" i="7"/>
  <c r="L69" i="7"/>
  <c r="J69" i="7"/>
  <c r="I69" i="7" s="1"/>
  <c r="N68" i="7"/>
  <c r="M68" i="7"/>
  <c r="L68" i="7"/>
  <c r="J68" i="7"/>
  <c r="I68" i="7" s="1"/>
  <c r="H68" i="7"/>
  <c r="N67" i="7"/>
  <c r="M67" i="7"/>
  <c r="L67" i="7"/>
  <c r="J67" i="7"/>
  <c r="N66" i="7"/>
  <c r="M66" i="7"/>
  <c r="L66" i="7"/>
  <c r="J66" i="7"/>
  <c r="N65" i="7"/>
  <c r="M65" i="7"/>
  <c r="L65" i="7"/>
  <c r="J65" i="7"/>
  <c r="I65" i="7" s="1"/>
  <c r="N64" i="7"/>
  <c r="M64" i="7"/>
  <c r="L64" i="7"/>
  <c r="J64" i="7"/>
  <c r="I64" i="7"/>
  <c r="N63" i="7"/>
  <c r="M63" i="7"/>
  <c r="L63" i="7"/>
  <c r="J63" i="7"/>
  <c r="N61" i="7"/>
  <c r="M61" i="7"/>
  <c r="L61" i="7"/>
  <c r="J61" i="7"/>
  <c r="N60" i="7"/>
  <c r="M60" i="7"/>
  <c r="L60" i="7"/>
  <c r="J60" i="7"/>
  <c r="I60" i="7" s="1"/>
  <c r="H60" i="7"/>
  <c r="N59" i="7"/>
  <c r="M59" i="7"/>
  <c r="L59" i="7"/>
  <c r="P48" i="7"/>
  <c r="J59" i="7"/>
  <c r="I59" i="7" s="1"/>
  <c r="N58" i="7"/>
  <c r="M58" i="7"/>
  <c r="L58" i="7"/>
  <c r="J58" i="7"/>
  <c r="H58" i="7"/>
  <c r="N57" i="7"/>
  <c r="M57" i="7"/>
  <c r="L57" i="7"/>
  <c r="J57" i="7"/>
  <c r="N56" i="7"/>
  <c r="M56" i="7"/>
  <c r="L56" i="7"/>
  <c r="J56" i="7"/>
  <c r="H56" i="7" s="1"/>
  <c r="N55" i="7"/>
  <c r="M55" i="7"/>
  <c r="L55" i="7"/>
  <c r="J55" i="7"/>
  <c r="I55" i="7"/>
  <c r="N54" i="7"/>
  <c r="M54" i="7"/>
  <c r="L54" i="7"/>
  <c r="J54" i="7"/>
  <c r="N53" i="7"/>
  <c r="M53" i="7"/>
  <c r="L53" i="7"/>
  <c r="J53" i="7"/>
  <c r="H53" i="7" s="1"/>
  <c r="N52" i="7"/>
  <c r="M52" i="7"/>
  <c r="L52" i="7"/>
  <c r="J52" i="7"/>
  <c r="N51" i="7"/>
  <c r="M51" i="7"/>
  <c r="L51" i="7"/>
  <c r="J51" i="7"/>
  <c r="I51" i="7"/>
  <c r="N50" i="7"/>
  <c r="M50" i="7"/>
  <c r="L50" i="7"/>
  <c r="J50" i="7"/>
  <c r="N49" i="7"/>
  <c r="M49" i="7"/>
  <c r="L49" i="7"/>
  <c r="J49" i="7"/>
  <c r="H49" i="7" s="1"/>
  <c r="N47" i="7"/>
  <c r="M47" i="7"/>
  <c r="L47" i="7"/>
  <c r="J47" i="7"/>
  <c r="I47" i="7" s="1"/>
  <c r="N46" i="7"/>
  <c r="M46" i="7"/>
  <c r="L46" i="7"/>
  <c r="J46" i="7"/>
  <c r="N45" i="7"/>
  <c r="M45" i="7"/>
  <c r="L45" i="7"/>
  <c r="J45" i="7"/>
  <c r="N44" i="7"/>
  <c r="M44" i="7"/>
  <c r="L44" i="7"/>
  <c r="J44" i="7"/>
  <c r="N43" i="7"/>
  <c r="M43" i="7"/>
  <c r="L43" i="7"/>
  <c r="J43" i="7"/>
  <c r="H43" i="7" s="1"/>
  <c r="N42" i="7"/>
  <c r="M42" i="7"/>
  <c r="L42" i="7"/>
  <c r="J42" i="7"/>
  <c r="N41" i="7"/>
  <c r="M41" i="7"/>
  <c r="L41" i="7"/>
  <c r="J41" i="7"/>
  <c r="N40" i="7"/>
  <c r="M40" i="7"/>
  <c r="L40" i="7"/>
  <c r="P34" i="7"/>
  <c r="K40" i="7"/>
  <c r="J40" i="7"/>
  <c r="N39" i="7"/>
  <c r="M39" i="7"/>
  <c r="L39" i="7"/>
  <c r="J39" i="7"/>
  <c r="N38" i="7"/>
  <c r="M38" i="7"/>
  <c r="L38" i="7"/>
  <c r="J38" i="7"/>
  <c r="N37" i="7"/>
  <c r="M37" i="7"/>
  <c r="L37" i="7"/>
  <c r="J37" i="7"/>
  <c r="H37" i="7" s="1"/>
  <c r="N36" i="7"/>
  <c r="M36" i="7"/>
  <c r="L36" i="7"/>
  <c r="J36" i="7"/>
  <c r="N35" i="7"/>
  <c r="M35" i="7"/>
  <c r="G35" i="7" s="1"/>
  <c r="L35" i="7"/>
  <c r="J35" i="7"/>
  <c r="K39" i="7"/>
  <c r="N33" i="7"/>
  <c r="M33" i="7"/>
  <c r="L33" i="7"/>
  <c r="J33" i="7"/>
  <c r="I33" i="7" s="1"/>
  <c r="H33" i="7"/>
  <c r="P20" i="7"/>
  <c r="K33" i="7" s="1"/>
  <c r="N32" i="7"/>
  <c r="M32" i="7"/>
  <c r="L32" i="7"/>
  <c r="K32" i="7"/>
  <c r="J32" i="7"/>
  <c r="N31" i="7"/>
  <c r="M31" i="7"/>
  <c r="L31" i="7"/>
  <c r="J31" i="7"/>
  <c r="N30" i="7"/>
  <c r="M30" i="7"/>
  <c r="L30" i="7"/>
  <c r="G30" i="7" s="1"/>
  <c r="F30" i="7" s="1"/>
  <c r="K30" i="7"/>
  <c r="J30" i="7"/>
  <c r="H30" i="7"/>
  <c r="N29" i="7"/>
  <c r="M29" i="7"/>
  <c r="L29" i="7"/>
  <c r="K29" i="7"/>
  <c r="J29" i="7"/>
  <c r="N28" i="7"/>
  <c r="M28" i="7"/>
  <c r="L28" i="7"/>
  <c r="J28" i="7"/>
  <c r="H28" i="7" s="1"/>
  <c r="N27" i="7"/>
  <c r="M27" i="7"/>
  <c r="L27" i="7"/>
  <c r="J27" i="7"/>
  <c r="H27" i="7" s="1"/>
  <c r="N26" i="7"/>
  <c r="M26" i="7"/>
  <c r="L26" i="7"/>
  <c r="J26" i="7"/>
  <c r="N25" i="7"/>
  <c r="M25" i="7"/>
  <c r="L25" i="7"/>
  <c r="J25" i="7"/>
  <c r="N24" i="7"/>
  <c r="M24" i="7"/>
  <c r="L24" i="7"/>
  <c r="J24" i="7"/>
  <c r="I24" i="7"/>
  <c r="N23" i="7"/>
  <c r="M23" i="7"/>
  <c r="L23" i="7"/>
  <c r="K23" i="7"/>
  <c r="J23" i="7"/>
  <c r="N22" i="7"/>
  <c r="M22" i="7"/>
  <c r="L22" i="7"/>
  <c r="J22" i="7"/>
  <c r="N21" i="7"/>
  <c r="M21" i="7"/>
  <c r="L21" i="7"/>
  <c r="G21" i="7" s="1"/>
  <c r="F21" i="7" s="1"/>
  <c r="E21" i="7" s="1"/>
  <c r="D21" i="7" s="1"/>
  <c r="Q21" i="7" s="1"/>
  <c r="J21" i="7"/>
  <c r="I21" i="7" s="1"/>
  <c r="K21" i="7"/>
  <c r="N19" i="7"/>
  <c r="M19" i="7"/>
  <c r="L19" i="7"/>
  <c r="P6" i="7"/>
  <c r="K19" i="7"/>
  <c r="J19" i="7"/>
  <c r="H19" i="7" s="1"/>
  <c r="N18" i="7"/>
  <c r="M18" i="7"/>
  <c r="L18" i="7"/>
  <c r="J18" i="7"/>
  <c r="I18" i="7"/>
  <c r="N17" i="7"/>
  <c r="M17" i="7"/>
  <c r="L17" i="7"/>
  <c r="J17" i="7"/>
  <c r="H17" i="7" s="1"/>
  <c r="N16" i="7"/>
  <c r="M16" i="7"/>
  <c r="L16" i="7"/>
  <c r="G16" i="7" s="1"/>
  <c r="F16" i="7" s="1"/>
  <c r="E16" i="7" s="1"/>
  <c r="D16" i="7" s="1"/>
  <c r="Q16" i="7" s="1"/>
  <c r="J16" i="7"/>
  <c r="H16" i="7" s="1"/>
  <c r="N15" i="7"/>
  <c r="M15" i="7"/>
  <c r="L15" i="7"/>
  <c r="J15" i="7"/>
  <c r="N14" i="7"/>
  <c r="M14" i="7"/>
  <c r="G14" i="7" s="1"/>
  <c r="F14" i="7" s="1"/>
  <c r="E14" i="7" s="1"/>
  <c r="D14" i="7" s="1"/>
  <c r="Q14" i="7" s="1"/>
  <c r="L14" i="7"/>
  <c r="J14" i="7"/>
  <c r="N13" i="7"/>
  <c r="M13" i="7"/>
  <c r="G13" i="7" s="1"/>
  <c r="L13" i="7"/>
  <c r="J13" i="7"/>
  <c r="I13" i="7"/>
  <c r="H13" i="7"/>
  <c r="N12" i="7"/>
  <c r="M12" i="7"/>
  <c r="L12" i="7"/>
  <c r="J12" i="7"/>
  <c r="H12" i="7" s="1"/>
  <c r="N11" i="7"/>
  <c r="M11" i="7"/>
  <c r="L11" i="7"/>
  <c r="J11" i="7"/>
  <c r="N10" i="7"/>
  <c r="M10" i="7"/>
  <c r="L10" i="7"/>
  <c r="J10" i="7"/>
  <c r="N9" i="7"/>
  <c r="M9" i="7"/>
  <c r="L9" i="7"/>
  <c r="J9" i="7"/>
  <c r="N8" i="7"/>
  <c r="M8" i="7"/>
  <c r="L8" i="7"/>
  <c r="J8" i="7"/>
  <c r="I8" i="7" s="1"/>
  <c r="N7" i="7"/>
  <c r="M7" i="7"/>
  <c r="L7" i="7"/>
  <c r="J7" i="7"/>
  <c r="I7" i="7" s="1"/>
  <c r="J187" i="5"/>
  <c r="H187" i="5" s="1"/>
  <c r="J186" i="5"/>
  <c r="J185" i="5"/>
  <c r="I185" i="5" s="1"/>
  <c r="J184" i="5"/>
  <c r="J183" i="5"/>
  <c r="I183" i="5" s="1"/>
  <c r="J182" i="5"/>
  <c r="H182" i="5" s="1"/>
  <c r="J181" i="5"/>
  <c r="I181" i="5" s="1"/>
  <c r="J180" i="5"/>
  <c r="H180" i="5" s="1"/>
  <c r="J173" i="5"/>
  <c r="H173" i="5" s="1"/>
  <c r="J172" i="5"/>
  <c r="J171" i="5"/>
  <c r="H171" i="5" s="1"/>
  <c r="J170" i="5"/>
  <c r="H170" i="5" s="1"/>
  <c r="J169" i="5"/>
  <c r="I169" i="5" s="1"/>
  <c r="J168" i="5"/>
  <c r="H168" i="5" s="1"/>
  <c r="J167" i="5"/>
  <c r="J166" i="5"/>
  <c r="H166" i="5" s="1"/>
  <c r="J165" i="5"/>
  <c r="J159" i="5"/>
  <c r="I159" i="5" s="1"/>
  <c r="J158" i="5"/>
  <c r="I158" i="5" s="1"/>
  <c r="J145" i="5"/>
  <c r="I145" i="5" s="1"/>
  <c r="J144" i="5"/>
  <c r="H144" i="5" s="1"/>
  <c r="J143" i="5"/>
  <c r="H143" i="5" s="1"/>
  <c r="J142" i="5"/>
  <c r="J141" i="5"/>
  <c r="I141" i="5" s="1"/>
  <c r="J140" i="5"/>
  <c r="I140" i="5" s="1"/>
  <c r="J139" i="5"/>
  <c r="I139" i="5" s="1"/>
  <c r="J138" i="5"/>
  <c r="J137" i="5"/>
  <c r="I137" i="5" s="1"/>
  <c r="J136" i="5"/>
  <c r="H136" i="5" s="1"/>
  <c r="J134" i="5"/>
  <c r="H134" i="5" s="1"/>
  <c r="J133" i="5"/>
  <c r="I133" i="5" s="1"/>
  <c r="J119" i="5"/>
  <c r="I119" i="5" s="1"/>
  <c r="J103" i="5"/>
  <c r="H103" i="5" s="1"/>
  <c r="J102" i="5"/>
  <c r="J101" i="5"/>
  <c r="H101" i="5" s="1"/>
  <c r="J97" i="5"/>
  <c r="H97" i="5" s="1"/>
  <c r="J96" i="5"/>
  <c r="I96" i="5" s="1"/>
  <c r="J94" i="5"/>
  <c r="H94" i="5" s="1"/>
  <c r="J93" i="5"/>
  <c r="H93" i="5" s="1"/>
  <c r="J91" i="5"/>
  <c r="H91" i="5" s="1"/>
  <c r="J89" i="5"/>
  <c r="I89" i="5" s="1"/>
  <c r="J88" i="5"/>
  <c r="H88" i="5" s="1"/>
  <c r="J87" i="5"/>
  <c r="I87" i="5" s="1"/>
  <c r="J86" i="5"/>
  <c r="I86" i="5" s="1"/>
  <c r="J85" i="5"/>
  <c r="H85" i="5" s="1"/>
  <c r="J83" i="5"/>
  <c r="I83" i="5" s="1"/>
  <c r="J82" i="5"/>
  <c r="J81" i="5"/>
  <c r="J79" i="5"/>
  <c r="J78" i="5"/>
  <c r="I78" i="5" s="1"/>
  <c r="J77" i="5"/>
  <c r="J75" i="5"/>
  <c r="I75" i="5" s="1"/>
  <c r="J74" i="5"/>
  <c r="I74" i="5" s="1"/>
  <c r="J73" i="5"/>
  <c r="I73" i="5" s="1"/>
  <c r="J72" i="5"/>
  <c r="H72" i="5" s="1"/>
  <c r="J71" i="5"/>
  <c r="H71" i="5" s="1"/>
  <c r="J70" i="5"/>
  <c r="H70" i="5" s="1"/>
  <c r="J69" i="5"/>
  <c r="H69" i="5" s="1"/>
  <c r="J68" i="5"/>
  <c r="I68" i="5" s="1"/>
  <c r="J67" i="5"/>
  <c r="H67" i="5" s="1"/>
  <c r="J66" i="5"/>
  <c r="I66" i="5" s="1"/>
  <c r="J65" i="5"/>
  <c r="I65" i="5" s="1"/>
  <c r="J64" i="5"/>
  <c r="H64" i="5" s="1"/>
  <c r="J61" i="5"/>
  <c r="H61" i="5" s="1"/>
  <c r="J60" i="5"/>
  <c r="H60" i="5" s="1"/>
  <c r="J59" i="5"/>
  <c r="I59" i="5" s="1"/>
  <c r="J58" i="5"/>
  <c r="I58" i="5" s="1"/>
  <c r="J57" i="5"/>
  <c r="I57" i="5" s="1"/>
  <c r="J56" i="5"/>
  <c r="I56" i="5" s="1"/>
  <c r="J55" i="5"/>
  <c r="J54" i="5"/>
  <c r="H54" i="5" s="1"/>
  <c r="J53" i="5"/>
  <c r="I53" i="5" s="1"/>
  <c r="J52" i="5"/>
  <c r="H52" i="5" s="1"/>
  <c r="J50" i="5"/>
  <c r="J49" i="5"/>
  <c r="I49" i="5" s="1"/>
  <c r="J47" i="5"/>
  <c r="J46" i="5"/>
  <c r="J45" i="5"/>
  <c r="I45" i="5" s="1"/>
  <c r="J44" i="5"/>
  <c r="H44" i="5" s="1"/>
  <c r="J43" i="5"/>
  <c r="I43" i="5" s="1"/>
  <c r="J42" i="5"/>
  <c r="I42" i="5" s="1"/>
  <c r="J41" i="5"/>
  <c r="H41" i="5" s="1"/>
  <c r="J40" i="5"/>
  <c r="H40" i="5" s="1"/>
  <c r="J39" i="5"/>
  <c r="H39" i="5" s="1"/>
  <c r="J38" i="5"/>
  <c r="H38" i="5" s="1"/>
  <c r="J37" i="5"/>
  <c r="H37" i="5" s="1"/>
  <c r="J35" i="5"/>
  <c r="I35" i="5" s="1"/>
  <c r="J33" i="5"/>
  <c r="H33" i="5" s="1"/>
  <c r="J32" i="5"/>
  <c r="J31" i="5"/>
  <c r="H31" i="5" s="1"/>
  <c r="J30" i="5"/>
  <c r="J29" i="5"/>
  <c r="I29" i="5" s="1"/>
  <c r="J28" i="5"/>
  <c r="I28" i="5" s="1"/>
  <c r="J27" i="5"/>
  <c r="J26" i="5"/>
  <c r="J25" i="5"/>
  <c r="I25" i="5" s="1"/>
  <c r="J24" i="5"/>
  <c r="I24" i="5" s="1"/>
  <c r="J23" i="5"/>
  <c r="H23" i="5" s="1"/>
  <c r="J22" i="5"/>
  <c r="I22" i="5" s="1"/>
  <c r="J8" i="5"/>
  <c r="H8" i="5" s="1"/>
  <c r="J9" i="5"/>
  <c r="H9" i="5" s="1"/>
  <c r="J10" i="5"/>
  <c r="J11" i="5"/>
  <c r="J12" i="5"/>
  <c r="I12" i="5" s="1"/>
  <c r="J13" i="5"/>
  <c r="I13" i="5" s="1"/>
  <c r="J14" i="5"/>
  <c r="I14" i="5" s="1"/>
  <c r="J15" i="5"/>
  <c r="H15" i="5" s="1"/>
  <c r="J16" i="5"/>
  <c r="J17" i="5"/>
  <c r="J18" i="5"/>
  <c r="H18" i="5" s="1"/>
  <c r="J19" i="5"/>
  <c r="H19" i="5" s="1"/>
  <c r="K184" i="5"/>
  <c r="N187" i="5"/>
  <c r="M187" i="5"/>
  <c r="L187" i="5"/>
  <c r="N186" i="5"/>
  <c r="M186" i="5"/>
  <c r="L186" i="5"/>
  <c r="N185" i="5"/>
  <c r="M185" i="5"/>
  <c r="L185" i="5"/>
  <c r="N184" i="5"/>
  <c r="M184" i="5"/>
  <c r="L184" i="5"/>
  <c r="N183" i="5"/>
  <c r="M183" i="5"/>
  <c r="L183" i="5"/>
  <c r="N182" i="5"/>
  <c r="M182" i="5"/>
  <c r="L182" i="5"/>
  <c r="N181" i="5"/>
  <c r="M181" i="5"/>
  <c r="L181" i="5"/>
  <c r="N180" i="5"/>
  <c r="M180" i="5"/>
  <c r="L180" i="5"/>
  <c r="N179" i="5"/>
  <c r="N178" i="5"/>
  <c r="N177" i="5"/>
  <c r="N176" i="5"/>
  <c r="N175" i="5"/>
  <c r="N173" i="5"/>
  <c r="M173" i="5"/>
  <c r="L173" i="5"/>
  <c r="N172" i="5"/>
  <c r="M172" i="5"/>
  <c r="L172" i="5"/>
  <c r="N171" i="5"/>
  <c r="M171" i="5"/>
  <c r="L171" i="5"/>
  <c r="N170" i="5"/>
  <c r="M170" i="5"/>
  <c r="L170" i="5"/>
  <c r="N169" i="5"/>
  <c r="M169" i="5"/>
  <c r="L169" i="5"/>
  <c r="N168" i="5"/>
  <c r="M168" i="5"/>
  <c r="L168" i="5"/>
  <c r="N167" i="5"/>
  <c r="M167" i="5"/>
  <c r="L167" i="5"/>
  <c r="N166" i="5"/>
  <c r="M166" i="5"/>
  <c r="L166" i="5"/>
  <c r="N165" i="5"/>
  <c r="M165" i="5"/>
  <c r="L165" i="5"/>
  <c r="N164" i="5"/>
  <c r="N163" i="5"/>
  <c r="N162" i="5"/>
  <c r="N161" i="5"/>
  <c r="K141" i="5"/>
  <c r="K119" i="5"/>
  <c r="K43" i="5"/>
  <c r="K27" i="5"/>
  <c r="K24" i="5"/>
  <c r="K29" i="5"/>
  <c r="K30" i="5"/>
  <c r="N159" i="5"/>
  <c r="M159" i="5"/>
  <c r="L159" i="5"/>
  <c r="N158" i="5"/>
  <c r="L158" i="5"/>
  <c r="N157" i="5"/>
  <c r="N156" i="5"/>
  <c r="N155" i="5"/>
  <c r="N154" i="5"/>
  <c r="N153" i="5"/>
  <c r="N152" i="5"/>
  <c r="N151" i="5"/>
  <c r="N150" i="5"/>
  <c r="N149" i="5"/>
  <c r="N148" i="5"/>
  <c r="N147" i="5"/>
  <c r="N145" i="5"/>
  <c r="L145" i="5"/>
  <c r="N144" i="5"/>
  <c r="M144" i="5"/>
  <c r="L144" i="5"/>
  <c r="N143" i="5"/>
  <c r="M143" i="5"/>
  <c r="L143" i="5"/>
  <c r="N142" i="5"/>
  <c r="M142" i="5"/>
  <c r="L142" i="5"/>
  <c r="N141" i="5"/>
  <c r="M141" i="5"/>
  <c r="L141" i="5"/>
  <c r="N140" i="5"/>
  <c r="M140" i="5"/>
  <c r="L140" i="5"/>
  <c r="N139" i="5"/>
  <c r="L139" i="5"/>
  <c r="N138" i="5"/>
  <c r="M138" i="5"/>
  <c r="L138" i="5"/>
  <c r="N137" i="5"/>
  <c r="M137" i="5"/>
  <c r="L137" i="5"/>
  <c r="N136" i="5"/>
  <c r="L136" i="5"/>
  <c r="N135" i="5"/>
  <c r="N134" i="5"/>
  <c r="M134" i="5"/>
  <c r="L134" i="5"/>
  <c r="N133" i="5"/>
  <c r="L133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M119" i="5"/>
  <c r="L119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3" i="5"/>
  <c r="M103" i="5"/>
  <c r="L103" i="5"/>
  <c r="N102" i="5"/>
  <c r="M102" i="5"/>
  <c r="L102" i="5"/>
  <c r="N101" i="5"/>
  <c r="M101" i="5"/>
  <c r="L101" i="5"/>
  <c r="N100" i="5"/>
  <c r="L100" i="5"/>
  <c r="N99" i="5"/>
  <c r="N98" i="5"/>
  <c r="N97" i="5"/>
  <c r="M97" i="5"/>
  <c r="L97" i="5"/>
  <c r="N96" i="5"/>
  <c r="M96" i="5"/>
  <c r="L96" i="5"/>
  <c r="N95" i="5"/>
  <c r="N94" i="5"/>
  <c r="M94" i="5"/>
  <c r="L94" i="5"/>
  <c r="N93" i="5"/>
  <c r="M93" i="5"/>
  <c r="L93" i="5"/>
  <c r="N92" i="5"/>
  <c r="N91" i="5"/>
  <c r="M91" i="5"/>
  <c r="L91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N83" i="5"/>
  <c r="M83" i="5"/>
  <c r="L83" i="5"/>
  <c r="N82" i="5"/>
  <c r="M82" i="5"/>
  <c r="L82" i="5"/>
  <c r="N81" i="5"/>
  <c r="L81" i="5"/>
  <c r="N80" i="5"/>
  <c r="N79" i="5"/>
  <c r="M79" i="5"/>
  <c r="L79" i="5"/>
  <c r="N78" i="5"/>
  <c r="M78" i="5"/>
  <c r="L78" i="5"/>
  <c r="N77" i="5"/>
  <c r="L77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N61" i="5"/>
  <c r="M61" i="5"/>
  <c r="L61" i="5"/>
  <c r="N60" i="5"/>
  <c r="M60" i="5"/>
  <c r="L60" i="5"/>
  <c r="K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K54" i="5"/>
  <c r="N53" i="5"/>
  <c r="M53" i="5"/>
  <c r="L53" i="5"/>
  <c r="N52" i="5"/>
  <c r="M52" i="5"/>
  <c r="L52" i="5"/>
  <c r="K52" i="5"/>
  <c r="N51" i="5"/>
  <c r="N50" i="5"/>
  <c r="M50" i="5"/>
  <c r="L50" i="5"/>
  <c r="N49" i="5"/>
  <c r="M49" i="5"/>
  <c r="L49" i="5"/>
  <c r="N47" i="5"/>
  <c r="M47" i="5"/>
  <c r="L47" i="5"/>
  <c r="K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K41" i="5"/>
  <c r="N40" i="5"/>
  <c r="M40" i="5"/>
  <c r="L40" i="5"/>
  <c r="N39" i="5"/>
  <c r="M39" i="5"/>
  <c r="L39" i="5"/>
  <c r="N38" i="5"/>
  <c r="M38" i="5"/>
  <c r="L38" i="5"/>
  <c r="N37" i="5"/>
  <c r="M37" i="5"/>
  <c r="L37" i="5"/>
  <c r="K37" i="5"/>
  <c r="N36" i="5"/>
  <c r="N35" i="5"/>
  <c r="M35" i="5"/>
  <c r="L35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K22" i="5"/>
  <c r="L22" i="5"/>
  <c r="N21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M77" i="5"/>
  <c r="M81" i="5"/>
  <c r="M133" i="5"/>
  <c r="M136" i="5"/>
  <c r="K136" i="5"/>
  <c r="M139" i="5"/>
  <c r="M145" i="5"/>
  <c r="M158" i="5"/>
  <c r="K26" i="5"/>
  <c r="K33" i="5"/>
  <c r="K31" i="5"/>
  <c r="K57" i="5"/>
  <c r="K59" i="5"/>
  <c r="K53" i="5"/>
  <c r="K61" i="5"/>
  <c r="K49" i="5"/>
  <c r="K50" i="5"/>
  <c r="K56" i="5"/>
  <c r="K42" i="5"/>
  <c r="K45" i="5"/>
  <c r="I169" i="7"/>
  <c r="I49" i="7"/>
  <c r="I16" i="7"/>
  <c r="H168" i="7"/>
  <c r="H85" i="7"/>
  <c r="I57" i="7"/>
  <c r="H141" i="7"/>
  <c r="K141" i="7"/>
  <c r="G141" i="7"/>
  <c r="F141" i="7" s="1"/>
  <c r="E141" i="7" s="1"/>
  <c r="D141" i="7" s="1"/>
  <c r="Q141" i="7" s="1"/>
  <c r="I162" i="7"/>
  <c r="I151" i="7"/>
  <c r="I71" i="7"/>
  <c r="I36" i="7"/>
  <c r="H47" i="7"/>
  <c r="H59" i="7"/>
  <c r="H136" i="7"/>
  <c r="H55" i="7"/>
  <c r="H138" i="7"/>
  <c r="I52" i="7"/>
  <c r="H41" i="7"/>
  <c r="I82" i="7"/>
  <c r="I126" i="7"/>
  <c r="I137" i="7"/>
  <c r="I147" i="7"/>
  <c r="I166" i="7"/>
  <c r="H170" i="7"/>
  <c r="I148" i="7"/>
  <c r="G156" i="7"/>
  <c r="F156" i="7" s="1"/>
  <c r="E156" i="7" s="1"/>
  <c r="D156" i="7" s="1"/>
  <c r="Q156" i="7" s="1"/>
  <c r="H156" i="7"/>
  <c r="I156" i="7"/>
  <c r="I107" i="7"/>
  <c r="H107" i="7"/>
  <c r="K9" i="7"/>
  <c r="G9" i="7"/>
  <c r="K12" i="7"/>
  <c r="G12" i="7" s="1"/>
  <c r="F12" i="7" s="1"/>
  <c r="E12" i="7" s="1"/>
  <c r="D12" i="7" s="1"/>
  <c r="Q12" i="7" s="1"/>
  <c r="K16" i="7"/>
  <c r="K45" i="7"/>
  <c r="G45" i="7"/>
  <c r="K47" i="7"/>
  <c r="H64" i="7"/>
  <c r="I22" i="7"/>
  <c r="H22" i="7"/>
  <c r="H24" i="7"/>
  <c r="I30" i="7"/>
  <c r="K42" i="7"/>
  <c r="K43" i="7"/>
  <c r="I45" i="7"/>
  <c r="K17" i="7"/>
  <c r="K35" i="7"/>
  <c r="K37" i="7"/>
  <c r="G37" i="7" s="1"/>
  <c r="F37" i="7" s="1"/>
  <c r="E37" i="7" s="1"/>
  <c r="D37" i="7" s="1"/>
  <c r="Q37" i="7" s="1"/>
  <c r="H96" i="7"/>
  <c r="K74" i="7"/>
  <c r="K75" i="7"/>
  <c r="G75" i="7"/>
  <c r="F75" i="7" s="1"/>
  <c r="K73" i="7"/>
  <c r="G73" i="7" s="1"/>
  <c r="F73" i="7" s="1"/>
  <c r="E73" i="7" s="1"/>
  <c r="D73" i="7" s="1"/>
  <c r="Q73" i="7" s="1"/>
  <c r="K71" i="7"/>
  <c r="K69" i="7"/>
  <c r="K67" i="7"/>
  <c r="H67" i="7"/>
  <c r="K65" i="7"/>
  <c r="K63" i="7"/>
  <c r="K66" i="7"/>
  <c r="K64" i="7"/>
  <c r="K44" i="7"/>
  <c r="G44" i="7"/>
  <c r="F44" i="7" s="1"/>
  <c r="E44" i="7" s="1"/>
  <c r="D44" i="7" s="1"/>
  <c r="Q44" i="7" s="1"/>
  <c r="K41" i="7"/>
  <c r="G41" i="7"/>
  <c r="K36" i="7"/>
  <c r="K46" i="7"/>
  <c r="K38" i="7"/>
  <c r="K13" i="7"/>
  <c r="K10" i="7"/>
  <c r="K14" i="7"/>
  <c r="H39" i="7"/>
  <c r="I39" i="7"/>
  <c r="K72" i="7"/>
  <c r="I98" i="7"/>
  <c r="K99" i="7"/>
  <c r="K94" i="7"/>
  <c r="K95" i="7"/>
  <c r="K60" i="7"/>
  <c r="K58" i="7"/>
  <c r="G58" i="7" s="1"/>
  <c r="F58" i="7" s="1"/>
  <c r="E58" i="7" s="1"/>
  <c r="D58" i="7" s="1"/>
  <c r="Q58" i="7" s="1"/>
  <c r="K61" i="7"/>
  <c r="G61" i="7" s="1"/>
  <c r="F61" i="7" s="1"/>
  <c r="E61" i="7" s="1"/>
  <c r="D61" i="7" s="1"/>
  <c r="Q61" i="7" s="1"/>
  <c r="H181" i="7"/>
  <c r="K50" i="7"/>
  <c r="G50" i="7" s="1"/>
  <c r="F50" i="7" s="1"/>
  <c r="I56" i="7"/>
  <c r="K89" i="7"/>
  <c r="G89" i="7" s="1"/>
  <c r="F89" i="7" s="1"/>
  <c r="E89" i="7" s="1"/>
  <c r="D89" i="7" s="1"/>
  <c r="Q89" i="7" s="1"/>
  <c r="H121" i="7"/>
  <c r="I100" i="7"/>
  <c r="G123" i="7"/>
  <c r="F123" i="7" s="1"/>
  <c r="E123" i="7" s="1"/>
  <c r="D123" i="7" s="1"/>
  <c r="Q123" i="7" s="1"/>
  <c r="H125" i="7"/>
  <c r="H109" i="7"/>
  <c r="K142" i="7"/>
  <c r="K140" i="7"/>
  <c r="G140" i="7"/>
  <c r="F140" i="7" s="1"/>
  <c r="E140" i="7" s="1"/>
  <c r="D140" i="7" s="1"/>
  <c r="Q140" i="7" s="1"/>
  <c r="K138" i="7"/>
  <c r="G138" i="7"/>
  <c r="F138" i="7" s="1"/>
  <c r="E138" i="7" s="1"/>
  <c r="D138" i="7" s="1"/>
  <c r="Q138" i="7" s="1"/>
  <c r="K136" i="7"/>
  <c r="G136" i="7" s="1"/>
  <c r="F136" i="7" s="1"/>
  <c r="E136" i="7" s="1"/>
  <c r="D136" i="7" s="1"/>
  <c r="Q136" i="7" s="1"/>
  <c r="K134" i="7"/>
  <c r="K145" i="7"/>
  <c r="K143" i="7"/>
  <c r="K139" i="7"/>
  <c r="K137" i="7"/>
  <c r="G137" i="7" s="1"/>
  <c r="F137" i="7" s="1"/>
  <c r="E137" i="7" s="1"/>
  <c r="D137" i="7" s="1"/>
  <c r="Q137" i="7" s="1"/>
  <c r="H131" i="7"/>
  <c r="I131" i="7"/>
  <c r="I133" i="7"/>
  <c r="H133" i="7"/>
  <c r="H117" i="7"/>
  <c r="K133" i="7"/>
  <c r="K163" i="7"/>
  <c r="G163" i="7" s="1"/>
  <c r="F163" i="7" s="1"/>
  <c r="E163" i="7" s="1"/>
  <c r="D163" i="7" s="1"/>
  <c r="Q163" i="7" s="1"/>
  <c r="I175" i="7"/>
  <c r="I178" i="7"/>
  <c r="K164" i="7"/>
  <c r="G164" i="7"/>
  <c r="K167" i="7"/>
  <c r="K171" i="7"/>
  <c r="I111" i="7"/>
  <c r="G178" i="7"/>
  <c r="F178" i="7" s="1"/>
  <c r="E178" i="7" s="1"/>
  <c r="D178" i="7" s="1"/>
  <c r="Q178" i="7" s="1"/>
  <c r="G176" i="7"/>
  <c r="I28" i="7"/>
  <c r="I27" i="7"/>
  <c r="H69" i="7"/>
  <c r="H94" i="7"/>
  <c r="H18" i="7"/>
  <c r="H51" i="7"/>
  <c r="H97" i="7"/>
  <c r="H143" i="7"/>
  <c r="H158" i="7"/>
  <c r="H163" i="7"/>
  <c r="I19" i="7"/>
  <c r="I161" i="7"/>
  <c r="I93" i="7"/>
  <c r="I167" i="7"/>
  <c r="I184" i="7"/>
  <c r="H182" i="7"/>
  <c r="I11" i="7"/>
  <c r="I58" i="7"/>
  <c r="I164" i="7"/>
  <c r="I153" i="7"/>
  <c r="H35" i="7"/>
  <c r="I72" i="7"/>
  <c r="I139" i="7"/>
  <c r="I155" i="7"/>
  <c r="I154" i="7"/>
  <c r="H72" i="7"/>
  <c r="H173" i="7"/>
  <c r="I102" i="7"/>
  <c r="H127" i="7"/>
  <c r="I180" i="7"/>
  <c r="I144" i="7"/>
  <c r="H183" i="7"/>
  <c r="I37" i="7"/>
  <c r="I17" i="7"/>
  <c r="I84" i="7"/>
  <c r="H177" i="7"/>
  <c r="H139" i="7"/>
  <c r="I115" i="7"/>
  <c r="I179" i="7"/>
  <c r="I91" i="7"/>
  <c r="H110" i="7"/>
  <c r="I12" i="7"/>
  <c r="H21" i="7"/>
  <c r="H38" i="7"/>
  <c r="H70" i="7"/>
  <c r="I70" i="7"/>
  <c r="H46" i="7"/>
  <c r="I46" i="7"/>
  <c r="H15" i="7"/>
  <c r="I15" i="7"/>
  <c r="I26" i="7"/>
  <c r="H26" i="7"/>
  <c r="H29" i="7"/>
  <c r="I29" i="7"/>
  <c r="H14" i="7"/>
  <c r="I14" i="7"/>
  <c r="H185" i="7"/>
  <c r="H63" i="7"/>
  <c r="I63" i="7"/>
  <c r="H95" i="7"/>
  <c r="I95" i="7"/>
  <c r="H119" i="7"/>
  <c r="I119" i="7"/>
  <c r="I140" i="7"/>
  <c r="H140" i="7"/>
  <c r="I124" i="7"/>
  <c r="H124" i="7"/>
  <c r="H57" i="7"/>
  <c r="I99" i="7"/>
  <c r="H99" i="7"/>
  <c r="H112" i="7"/>
  <c r="H186" i="7"/>
  <c r="I186" i="7"/>
  <c r="H52" i="7"/>
  <c r="H73" i="7"/>
  <c r="I77" i="7"/>
  <c r="H120" i="7"/>
  <c r="I120" i="7"/>
  <c r="I134" i="7"/>
  <c r="H134" i="7"/>
  <c r="H150" i="7"/>
  <c r="H9" i="7"/>
  <c r="I9" i="7"/>
  <c r="I66" i="7"/>
  <c r="H66" i="7"/>
  <c r="I145" i="7"/>
  <c r="H145" i="7"/>
  <c r="I135" i="7"/>
  <c r="I165" i="7"/>
  <c r="H8" i="7"/>
  <c r="I44" i="7"/>
  <c r="H44" i="7"/>
  <c r="I89" i="7"/>
  <c r="I83" i="7"/>
  <c r="H83" i="7"/>
  <c r="H108" i="7"/>
  <c r="I108" i="7"/>
  <c r="H116" i="7"/>
  <c r="I116" i="7"/>
  <c r="I152" i="7"/>
  <c r="H152" i="7"/>
  <c r="I157" i="7"/>
  <c r="H157" i="7"/>
  <c r="H32" i="7"/>
  <c r="H101" i="7"/>
  <c r="I25" i="7"/>
  <c r="H25" i="7"/>
  <c r="I43" i="7"/>
  <c r="H79" i="7"/>
  <c r="I79" i="7"/>
  <c r="H87" i="7"/>
  <c r="I130" i="7"/>
  <c r="I92" i="7"/>
  <c r="H92" i="7"/>
  <c r="H86" i="7"/>
  <c r="I112" i="7"/>
  <c r="H114" i="7"/>
  <c r="H147" i="7"/>
  <c r="G43" i="7"/>
  <c r="F43" i="7" s="1"/>
  <c r="G10" i="7"/>
  <c r="G152" i="7"/>
  <c r="G181" i="7"/>
  <c r="G116" i="7"/>
  <c r="G111" i="7"/>
  <c r="F111" i="7" s="1"/>
  <c r="E111" i="7" s="1"/>
  <c r="D111" i="7" s="1"/>
  <c r="Q111" i="7" s="1"/>
  <c r="M9" i="10"/>
  <c r="G9" i="10"/>
  <c r="F9" i="10" s="1"/>
  <c r="E9" i="10" s="1"/>
  <c r="D9" i="10" s="1"/>
  <c r="Q9" i="10" s="1"/>
  <c r="M13" i="10"/>
  <c r="M17" i="10"/>
  <c r="G17" i="10"/>
  <c r="M22" i="10"/>
  <c r="M26" i="10"/>
  <c r="M30" i="10"/>
  <c r="G30" i="10" s="1"/>
  <c r="M35" i="10"/>
  <c r="I35" i="10"/>
  <c r="M39" i="10"/>
  <c r="G39" i="10"/>
  <c r="M43" i="10"/>
  <c r="G43" i="10" s="1"/>
  <c r="F43" i="10" s="1"/>
  <c r="E43" i="10" s="1"/>
  <c r="D43" i="10" s="1"/>
  <c r="M46" i="10"/>
  <c r="G46" i="10"/>
  <c r="M52" i="10"/>
  <c r="G52" i="10"/>
  <c r="M55" i="10"/>
  <c r="M60" i="10"/>
  <c r="M64" i="10"/>
  <c r="G64" i="10" s="1"/>
  <c r="M72" i="10"/>
  <c r="G72" i="10" s="1"/>
  <c r="F72" i="10" s="1"/>
  <c r="E72" i="10" s="1"/>
  <c r="D72" i="10" s="1"/>
  <c r="Q72" i="10" s="1"/>
  <c r="M82" i="10"/>
  <c r="M93" i="10"/>
  <c r="M95" i="10"/>
  <c r="M102" i="10"/>
  <c r="M106" i="10"/>
  <c r="M7" i="10"/>
  <c r="M11" i="10"/>
  <c r="M15" i="10"/>
  <c r="G15" i="10" s="1"/>
  <c r="M19" i="10"/>
  <c r="G19" i="10" s="1"/>
  <c r="H19" i="10"/>
  <c r="F19" i="10"/>
  <c r="E19" i="10"/>
  <c r="D19" i="10" s="1"/>
  <c r="Q19" i="10" s="1"/>
  <c r="M24" i="10"/>
  <c r="G24" i="10"/>
  <c r="F24" i="10" s="1"/>
  <c r="E24" i="10" s="1"/>
  <c r="D24" i="10" s="1"/>
  <c r="M28" i="10"/>
  <c r="M32" i="10"/>
  <c r="M37" i="10"/>
  <c r="M41" i="10"/>
  <c r="M47" i="10"/>
  <c r="M51" i="10"/>
  <c r="H51" i="10"/>
  <c r="M56" i="10"/>
  <c r="G56" i="10" s="1"/>
  <c r="F56" i="10" s="1"/>
  <c r="E56" i="10" s="1"/>
  <c r="D56" i="10" s="1"/>
  <c r="M59" i="10"/>
  <c r="H59" i="10"/>
  <c r="I59" i="10"/>
  <c r="M65" i="10"/>
  <c r="M70" i="10"/>
  <c r="G70" i="10" s="1"/>
  <c r="F70" i="10" s="1"/>
  <c r="E70" i="10" s="1"/>
  <c r="D70" i="10" s="1"/>
  <c r="M74" i="10"/>
  <c r="M84" i="10"/>
  <c r="M94" i="10"/>
  <c r="Q94" i="10" s="1"/>
  <c r="M97" i="10"/>
  <c r="G97" i="10"/>
  <c r="F97" i="10" s="1"/>
  <c r="I97" i="10"/>
  <c r="E97" i="10"/>
  <c r="D97" i="10" s="1"/>
  <c r="Q97" i="10" s="1"/>
  <c r="M101" i="10"/>
  <c r="G101" i="10"/>
  <c r="F101" i="10" s="1"/>
  <c r="E101" i="10" s="1"/>
  <c r="D101" i="10" s="1"/>
  <c r="Q101" i="10" s="1"/>
  <c r="M103" i="10"/>
  <c r="M110" i="10"/>
  <c r="M114" i="10"/>
  <c r="G114" i="10" s="1"/>
  <c r="F114" i="10" s="1"/>
  <c r="E114" i="10" s="1"/>
  <c r="D114" i="10" s="1"/>
  <c r="M119" i="10"/>
  <c r="M123" i="10"/>
  <c r="G123" i="10" s="1"/>
  <c r="I7" i="11"/>
  <c r="I9" i="11"/>
  <c r="I11" i="11"/>
  <c r="I22" i="11"/>
  <c r="G28" i="11"/>
  <c r="I39" i="11"/>
  <c r="I43" i="11"/>
  <c r="I47" i="11"/>
  <c r="I52" i="11"/>
  <c r="I60" i="11"/>
  <c r="I65" i="11"/>
  <c r="I69" i="11"/>
  <c r="M69" i="11"/>
  <c r="G69" i="11"/>
  <c r="F69" i="11" s="1"/>
  <c r="E69" i="11" s="1"/>
  <c r="D69" i="11" s="1"/>
  <c r="Q69" i="11" s="1"/>
  <c r="I89" i="11"/>
  <c r="I91" i="11"/>
  <c r="I99" i="11"/>
  <c r="H130" i="11"/>
  <c r="I17" i="11"/>
  <c r="I24" i="11"/>
  <c r="I35" i="11"/>
  <c r="I40" i="11"/>
  <c r="I44" i="11"/>
  <c r="I49" i="11"/>
  <c r="I53" i="11"/>
  <c r="I61" i="11"/>
  <c r="I70" i="11"/>
  <c r="I74" i="11"/>
  <c r="I92" i="11"/>
  <c r="I96" i="11"/>
  <c r="I100" i="11"/>
  <c r="H131" i="11"/>
  <c r="G7" i="11"/>
  <c r="F7" i="11" s="1"/>
  <c r="E7" i="11" s="1"/>
  <c r="G11" i="11"/>
  <c r="F11" i="11"/>
  <c r="E11" i="11" s="1"/>
  <c r="D11" i="11"/>
  <c r="Q11" i="11" s="1"/>
  <c r="G97" i="11"/>
  <c r="F97" i="11" s="1"/>
  <c r="E97" i="11"/>
  <c r="D97" i="11"/>
  <c r="Q97" i="11" s="1"/>
  <c r="D7" i="11"/>
  <c r="Q7" i="11" s="1"/>
  <c r="M16" i="11"/>
  <c r="G16" i="11"/>
  <c r="H21" i="11"/>
  <c r="I21" i="11"/>
  <c r="G12" i="11"/>
  <c r="F12" i="11" s="1"/>
  <c r="E12" i="11" s="1"/>
  <c r="D12" i="11" s="1"/>
  <c r="Q12" i="11" s="1"/>
  <c r="H79" i="11"/>
  <c r="I79" i="11"/>
  <c r="H85" i="11"/>
  <c r="I85" i="11"/>
  <c r="M8" i="11"/>
  <c r="G8" i="11" s="1"/>
  <c r="F8" i="11" s="1"/>
  <c r="E8" i="11" s="1"/>
  <c r="D8" i="11"/>
  <c r="Q8" i="11"/>
  <c r="M10" i="11"/>
  <c r="G10" i="11"/>
  <c r="F10" i="11"/>
  <c r="E10" i="11"/>
  <c r="D10" i="11" s="1"/>
  <c r="Q10" i="11" s="1"/>
  <c r="M13" i="11"/>
  <c r="G13" i="11"/>
  <c r="F13" i="11" s="1"/>
  <c r="E13" i="11"/>
  <c r="D13" i="11" s="1"/>
  <c r="Q13" i="11" s="1"/>
  <c r="H14" i="11"/>
  <c r="I14" i="11"/>
  <c r="M17" i="11"/>
  <c r="H18" i="11"/>
  <c r="I18" i="11"/>
  <c r="M22" i="11"/>
  <c r="G22" i="11" s="1"/>
  <c r="F22" i="11" s="1"/>
  <c r="H23" i="11"/>
  <c r="I23" i="11"/>
  <c r="M26" i="11"/>
  <c r="H27" i="11"/>
  <c r="I27" i="11"/>
  <c r="M30" i="11"/>
  <c r="H31" i="11"/>
  <c r="I31" i="11"/>
  <c r="M35" i="11"/>
  <c r="H36" i="11"/>
  <c r="I36" i="11"/>
  <c r="M39" i="11"/>
  <c r="G39" i="11" s="1"/>
  <c r="F39" i="11" s="1"/>
  <c r="E39" i="11" s="1"/>
  <c r="D39" i="11" s="1"/>
  <c r="M43" i="11"/>
  <c r="M47" i="11"/>
  <c r="M52" i="11"/>
  <c r="M56" i="11"/>
  <c r="M60" i="11"/>
  <c r="M65" i="11"/>
  <c r="M73" i="11"/>
  <c r="M88" i="11"/>
  <c r="G88" i="11" s="1"/>
  <c r="M93" i="11"/>
  <c r="I105" i="11"/>
  <c r="H105" i="11"/>
  <c r="F105" i="11" s="1"/>
  <c r="E105" i="11" s="1"/>
  <c r="D105" i="11" s="1"/>
  <c r="Q105" i="11" s="1"/>
  <c r="I122" i="11"/>
  <c r="H122" i="11"/>
  <c r="M122" i="11"/>
  <c r="G122" i="11" s="1"/>
  <c r="F122" i="11" s="1"/>
  <c r="E122" i="11" s="1"/>
  <c r="D122" i="11" s="1"/>
  <c r="H25" i="11"/>
  <c r="I25" i="11"/>
  <c r="H29" i="11"/>
  <c r="F29" i="11" s="1"/>
  <c r="E29" i="11" s="1"/>
  <c r="D29" i="11" s="1"/>
  <c r="Q29" i="11" s="1"/>
  <c r="I29" i="11"/>
  <c r="H33" i="11"/>
  <c r="I33" i="11"/>
  <c r="H38" i="11"/>
  <c r="I38" i="11"/>
  <c r="H82" i="11"/>
  <c r="I82" i="11"/>
  <c r="H77" i="11"/>
  <c r="I77" i="11"/>
  <c r="H84" i="11"/>
  <c r="I84" i="11"/>
  <c r="M131" i="11"/>
  <c r="G131" i="11" s="1"/>
  <c r="F131" i="11" s="1"/>
  <c r="E131" i="11" s="1"/>
  <c r="D131" i="11" s="1"/>
  <c r="Q131" i="11" s="1"/>
  <c r="M130" i="11"/>
  <c r="M129" i="11"/>
  <c r="G129" i="11" s="1"/>
  <c r="M128" i="11"/>
  <c r="G128" i="11" s="1"/>
  <c r="F128" i="11" s="1"/>
  <c r="E128" i="11" s="1"/>
  <c r="D128" i="11" s="1"/>
  <c r="M127" i="11"/>
  <c r="M126" i="11"/>
  <c r="G126" i="11"/>
  <c r="F126" i="11" s="1"/>
  <c r="E126" i="11" s="1"/>
  <c r="D126" i="11" s="1"/>
  <c r="Q126" i="11" s="1"/>
  <c r="H126" i="11"/>
  <c r="I126" i="11"/>
  <c r="M125" i="11"/>
  <c r="Q125" i="11" s="1"/>
  <c r="M124" i="11"/>
  <c r="M123" i="11"/>
  <c r="M121" i="11"/>
  <c r="G121" i="11"/>
  <c r="F121" i="11" s="1"/>
  <c r="E121" i="11" s="1"/>
  <c r="D121" i="11" s="1"/>
  <c r="Q121" i="11" s="1"/>
  <c r="I121" i="11"/>
  <c r="M120" i="11"/>
  <c r="G120" i="11" s="1"/>
  <c r="M119" i="11"/>
  <c r="G119" i="11" s="1"/>
  <c r="F119" i="11" s="1"/>
  <c r="E119" i="11" s="1"/>
  <c r="M117" i="11"/>
  <c r="M116" i="11"/>
  <c r="G116" i="11" s="1"/>
  <c r="F116" i="11" s="1"/>
  <c r="I116" i="11"/>
  <c r="E116" i="11"/>
  <c r="D116" i="11" s="1"/>
  <c r="Q116" i="11" s="1"/>
  <c r="M115" i="11"/>
  <c r="M114" i="11"/>
  <c r="M113" i="11"/>
  <c r="G113" i="11"/>
  <c r="M112" i="11"/>
  <c r="M111" i="11"/>
  <c r="G111" i="11"/>
  <c r="F111" i="11" s="1"/>
  <c r="E111" i="11" s="1"/>
  <c r="D111" i="11" s="1"/>
  <c r="M110" i="11"/>
  <c r="M109" i="11"/>
  <c r="M108" i="11"/>
  <c r="M107" i="11"/>
  <c r="G107" i="11" s="1"/>
  <c r="F107" i="11" s="1"/>
  <c r="E107" i="11" s="1"/>
  <c r="M106" i="11"/>
  <c r="M105" i="11"/>
  <c r="M103" i="11"/>
  <c r="M102" i="11"/>
  <c r="G102" i="11" s="1"/>
  <c r="F102" i="11" s="1"/>
  <c r="E102" i="11" s="1"/>
  <c r="D102" i="11" s="1"/>
  <c r="H102" i="11"/>
  <c r="I102" i="11"/>
  <c r="M101" i="11"/>
  <c r="M94" i="11"/>
  <c r="M89" i="11"/>
  <c r="M86" i="11"/>
  <c r="M84" i="11"/>
  <c r="M82" i="11"/>
  <c r="M80" i="11"/>
  <c r="M78" i="11"/>
  <c r="M100" i="11"/>
  <c r="M96" i="11"/>
  <c r="M92" i="11"/>
  <c r="M87" i="11"/>
  <c r="M85" i="11"/>
  <c r="M83" i="11"/>
  <c r="M81" i="11"/>
  <c r="M79" i="11"/>
  <c r="M77" i="11"/>
  <c r="G77" i="11" s="1"/>
  <c r="F77" i="11" s="1"/>
  <c r="E77" i="11" s="1"/>
  <c r="D77" i="11" s="1"/>
  <c r="M75" i="11"/>
  <c r="G75" i="11" s="1"/>
  <c r="M71" i="11"/>
  <c r="M67" i="11"/>
  <c r="M63" i="11"/>
  <c r="G63" i="11" s="1"/>
  <c r="M58" i="11"/>
  <c r="M54" i="11"/>
  <c r="M50" i="11"/>
  <c r="M45" i="11"/>
  <c r="G45" i="11" s="1"/>
  <c r="F45" i="11" s="1"/>
  <c r="E45" i="11" s="1"/>
  <c r="M41" i="11"/>
  <c r="G41" i="11" s="1"/>
  <c r="F41" i="11" s="1"/>
  <c r="M38" i="11"/>
  <c r="G38" i="11" s="1"/>
  <c r="M36" i="11"/>
  <c r="M33" i="11"/>
  <c r="M31" i="11"/>
  <c r="Q31" i="11" s="1"/>
  <c r="M29" i="11"/>
  <c r="G29" i="11" s="1"/>
  <c r="M27" i="11"/>
  <c r="G27" i="11" s="1"/>
  <c r="F27" i="11" s="1"/>
  <c r="E27" i="11" s="1"/>
  <c r="D27" i="11" s="1"/>
  <c r="M25" i="11"/>
  <c r="G25" i="11" s="1"/>
  <c r="F25" i="11" s="1"/>
  <c r="E25" i="11" s="1"/>
  <c r="D25" i="11" s="1"/>
  <c r="M23" i="11"/>
  <c r="M21" i="11"/>
  <c r="M18" i="11"/>
  <c r="G18" i="11" s="1"/>
  <c r="F18" i="11" s="1"/>
  <c r="E18" i="11" s="1"/>
  <c r="M14" i="11"/>
  <c r="M99" i="11"/>
  <c r="M95" i="11"/>
  <c r="M91" i="11"/>
  <c r="M74" i="11"/>
  <c r="M70" i="11"/>
  <c r="G70" i="11"/>
  <c r="M61" i="11"/>
  <c r="G61" i="11" s="1"/>
  <c r="M53" i="11"/>
  <c r="M49" i="11"/>
  <c r="M44" i="11"/>
  <c r="M40" i="11"/>
  <c r="G40" i="11" s="1"/>
  <c r="G15" i="11"/>
  <c r="F15" i="11" s="1"/>
  <c r="E15" i="11" s="1"/>
  <c r="D15" i="11" s="1"/>
  <c r="Q15" i="11" s="1"/>
  <c r="G24" i="11"/>
  <c r="F24" i="11" s="1"/>
  <c r="G32" i="11"/>
  <c r="G37" i="11"/>
  <c r="M42" i="11"/>
  <c r="M46" i="11"/>
  <c r="G46" i="11" s="1"/>
  <c r="M51" i="11"/>
  <c r="G51" i="11" s="1"/>
  <c r="M55" i="11"/>
  <c r="M59" i="11"/>
  <c r="G59" i="11"/>
  <c r="M64" i="11"/>
  <c r="G64" i="11" s="1"/>
  <c r="M68" i="11"/>
  <c r="M72" i="11"/>
  <c r="H80" i="11"/>
  <c r="I80" i="11"/>
  <c r="H83" i="11"/>
  <c r="I83" i="11"/>
  <c r="H78" i="11"/>
  <c r="I78" i="11"/>
  <c r="H81" i="11"/>
  <c r="I81" i="11"/>
  <c r="H86" i="11"/>
  <c r="I86" i="11"/>
  <c r="I109" i="11"/>
  <c r="H109" i="11"/>
  <c r="I117" i="11"/>
  <c r="H117" i="11"/>
  <c r="K78" i="11"/>
  <c r="G78" i="11"/>
  <c r="F78" i="11" s="1"/>
  <c r="E78" i="11" s="1"/>
  <c r="D78" i="11" s="1"/>
  <c r="Q78" i="11" s="1"/>
  <c r="K80" i="11"/>
  <c r="K82" i="11"/>
  <c r="K84" i="11"/>
  <c r="K86" i="11"/>
  <c r="K89" i="11"/>
  <c r="I111" i="11"/>
  <c r="I120" i="11"/>
  <c r="H120" i="11"/>
  <c r="I128" i="11"/>
  <c r="H128" i="11"/>
  <c r="I107" i="11"/>
  <c r="H107" i="11"/>
  <c r="I115" i="11"/>
  <c r="H115" i="11"/>
  <c r="F115" i="11" s="1"/>
  <c r="I124" i="11"/>
  <c r="H124" i="11"/>
  <c r="I106" i="11"/>
  <c r="I110" i="11"/>
  <c r="I114" i="11"/>
  <c r="I119" i="11"/>
  <c r="I123" i="11"/>
  <c r="I127" i="11"/>
  <c r="I103" i="11"/>
  <c r="I108" i="11"/>
  <c r="I125" i="11"/>
  <c r="H96" i="10"/>
  <c r="H105" i="10"/>
  <c r="H111" i="10"/>
  <c r="H115" i="10"/>
  <c r="H120" i="10"/>
  <c r="H124" i="10"/>
  <c r="H128" i="10"/>
  <c r="H131" i="10"/>
  <c r="H7" i="10"/>
  <c r="G7" i="10"/>
  <c r="F7" i="10"/>
  <c r="E7" i="10"/>
  <c r="D7" i="10" s="1"/>
  <c r="Q7" i="10"/>
  <c r="H9" i="10"/>
  <c r="H11" i="10"/>
  <c r="H13" i="10"/>
  <c r="H15" i="10"/>
  <c r="H17" i="10"/>
  <c r="H22" i="10"/>
  <c r="H24" i="10"/>
  <c r="H28" i="10"/>
  <c r="H30" i="10"/>
  <c r="F30" i="10" s="1"/>
  <c r="E30" i="10" s="1"/>
  <c r="D30" i="10" s="1"/>
  <c r="Q30" i="10" s="1"/>
  <c r="H70" i="10"/>
  <c r="I84" i="10"/>
  <c r="I86" i="10"/>
  <c r="I93" i="10"/>
  <c r="I101" i="10"/>
  <c r="H8" i="10"/>
  <c r="H10" i="10"/>
  <c r="H12" i="10"/>
  <c r="H14" i="10"/>
  <c r="H16" i="10"/>
  <c r="H18" i="10"/>
  <c r="G18" i="10"/>
  <c r="F18" i="10"/>
  <c r="E18" i="10" s="1"/>
  <c r="D18" i="10"/>
  <c r="Q18" i="10" s="1"/>
  <c r="H21" i="10"/>
  <c r="H25" i="10"/>
  <c r="H27" i="10"/>
  <c r="H29" i="10"/>
  <c r="H31" i="10"/>
  <c r="I78" i="10"/>
  <c r="I83" i="10"/>
  <c r="I85" i="10"/>
  <c r="H89" i="10"/>
  <c r="I106" i="10"/>
  <c r="G32" i="10"/>
  <c r="F32" i="10" s="1"/>
  <c r="G71" i="10"/>
  <c r="F71" i="10" s="1"/>
  <c r="E71" i="10" s="1"/>
  <c r="D71" i="10" s="1"/>
  <c r="Q71" i="10" s="1"/>
  <c r="G75" i="10"/>
  <c r="F75" i="10" s="1"/>
  <c r="E75" i="10" s="1"/>
  <c r="I75" i="10"/>
  <c r="D75" i="10"/>
  <c r="Q75" i="10"/>
  <c r="G33" i="10"/>
  <c r="G74" i="10"/>
  <c r="F74" i="10"/>
  <c r="E74" i="10" s="1"/>
  <c r="D74" i="10" s="1"/>
  <c r="Q74" i="10" s="1"/>
  <c r="I74" i="10"/>
  <c r="G36" i="10"/>
  <c r="G94" i="10"/>
  <c r="F94" i="10" s="1"/>
  <c r="G105" i="10"/>
  <c r="F105" i="10" s="1"/>
  <c r="E105" i="10" s="1"/>
  <c r="D105" i="10" s="1"/>
  <c r="G121" i="10"/>
  <c r="F121" i="10"/>
  <c r="E121" i="10" s="1"/>
  <c r="D121" i="10" s="1"/>
  <c r="G11" i="10"/>
  <c r="F11" i="10" s="1"/>
  <c r="E11" i="10" s="1"/>
  <c r="D11" i="10" s="1"/>
  <c r="Q24" i="10"/>
  <c r="G28" i="10"/>
  <c r="F28" i="10" s="1"/>
  <c r="E28" i="10" s="1"/>
  <c r="D28" i="10" s="1"/>
  <c r="Q28" i="10"/>
  <c r="G106" i="10"/>
  <c r="F106" i="10"/>
  <c r="E106" i="10" s="1"/>
  <c r="D106" i="10" s="1"/>
  <c r="Q106" i="10" s="1"/>
  <c r="G109" i="10"/>
  <c r="F110" i="10"/>
  <c r="D8" i="10"/>
  <c r="Q8" i="10" s="1"/>
  <c r="G14" i="10"/>
  <c r="F14" i="10" s="1"/>
  <c r="E14" i="10" s="1"/>
  <c r="D14" i="10" s="1"/>
  <c r="Q14" i="10" s="1"/>
  <c r="G27" i="10"/>
  <c r="F27" i="10"/>
  <c r="E27" i="10" s="1"/>
  <c r="D27" i="10" s="1"/>
  <c r="G92" i="10"/>
  <c r="F92" i="10" s="1"/>
  <c r="E92" i="10" s="1"/>
  <c r="D92" i="10" s="1"/>
  <c r="Q92" i="10" s="1"/>
  <c r="G102" i="10"/>
  <c r="F102" i="10" s="1"/>
  <c r="E102" i="10"/>
  <c r="D102" i="10" s="1"/>
  <c r="I33" i="10"/>
  <c r="E33" i="10" s="1"/>
  <c r="I36" i="10"/>
  <c r="G31" i="10"/>
  <c r="G40" i="10"/>
  <c r="G41" i="10"/>
  <c r="F41" i="10" s="1"/>
  <c r="E41" i="10" s="1"/>
  <c r="H41" i="10"/>
  <c r="I41" i="10"/>
  <c r="D41" i="10"/>
  <c r="H43" i="10"/>
  <c r="G85" i="10"/>
  <c r="F85" i="10"/>
  <c r="E85" i="10" s="1"/>
  <c r="D85" i="10" s="1"/>
  <c r="Q85" i="10" s="1"/>
  <c r="I32" i="10"/>
  <c r="I37" i="10"/>
  <c r="I38" i="10"/>
  <c r="H38" i="10"/>
  <c r="F38" i="10"/>
  <c r="E38" i="10" s="1"/>
  <c r="I39" i="10"/>
  <c r="I42" i="10"/>
  <c r="H42" i="10"/>
  <c r="I43" i="10"/>
  <c r="I44" i="10"/>
  <c r="H44" i="10"/>
  <c r="I45" i="10"/>
  <c r="H45" i="10"/>
  <c r="I46" i="10"/>
  <c r="H46" i="10"/>
  <c r="F46" i="10"/>
  <c r="E46" i="10" s="1"/>
  <c r="D46" i="10" s="1"/>
  <c r="Q46" i="10" s="1"/>
  <c r="I47" i="10"/>
  <c r="H47" i="10"/>
  <c r="I49" i="10"/>
  <c r="H49" i="10"/>
  <c r="I50" i="10"/>
  <c r="H50" i="10"/>
  <c r="I51" i="10"/>
  <c r="I52" i="10"/>
  <c r="H52" i="10"/>
  <c r="I53" i="10"/>
  <c r="H53" i="10"/>
  <c r="I54" i="10"/>
  <c r="H54" i="10"/>
  <c r="H55" i="10"/>
  <c r="I56" i="10"/>
  <c r="I58" i="10"/>
  <c r="H58" i="10"/>
  <c r="I60" i="10"/>
  <c r="H60" i="10"/>
  <c r="F60" i="10"/>
  <c r="E60" i="10" s="1"/>
  <c r="D60" i="10" s="1"/>
  <c r="I61" i="10"/>
  <c r="H61" i="10"/>
  <c r="I63" i="10"/>
  <c r="H63" i="10"/>
  <c r="I64" i="10"/>
  <c r="H64" i="10"/>
  <c r="I65" i="10"/>
  <c r="H65" i="10"/>
  <c r="I66" i="10"/>
  <c r="H66" i="10"/>
  <c r="I67" i="10"/>
  <c r="H67" i="10"/>
  <c r="I68" i="10"/>
  <c r="H68" i="10"/>
  <c r="I69" i="10"/>
  <c r="E69" i="10" s="1"/>
  <c r="D69" i="10" s="1"/>
  <c r="Q69" i="10" s="1"/>
  <c r="H33" i="10"/>
  <c r="F33" i="10"/>
  <c r="D33" i="10"/>
  <c r="H36" i="10"/>
  <c r="I71" i="10"/>
  <c r="H77" i="10"/>
  <c r="I77" i="10"/>
  <c r="I72" i="10"/>
  <c r="K89" i="10"/>
  <c r="K88" i="10"/>
  <c r="K78" i="10"/>
  <c r="K82" i="10"/>
  <c r="K86" i="10"/>
  <c r="G113" i="10"/>
  <c r="G130" i="10"/>
  <c r="E130" i="10"/>
  <c r="D130" i="10"/>
  <c r="Q130" i="10" s="1"/>
  <c r="K140" i="5"/>
  <c r="K144" i="5"/>
  <c r="K138" i="5"/>
  <c r="K143" i="5"/>
  <c r="K134" i="5"/>
  <c r="K145" i="5"/>
  <c r="K137" i="5"/>
  <c r="K142" i="5"/>
  <c r="K133" i="5"/>
  <c r="K180" i="5"/>
  <c r="K185" i="5"/>
  <c r="K39" i="5"/>
  <c r="K35" i="5"/>
  <c r="K46" i="5"/>
  <c r="K94" i="5"/>
  <c r="G68" i="11"/>
  <c r="F40" i="11"/>
  <c r="E40" i="11" s="1"/>
  <c r="D40" i="11"/>
  <c r="E22" i="11"/>
  <c r="D22" i="11" s="1"/>
  <c r="Q22" i="11"/>
  <c r="G44" i="11"/>
  <c r="F44" i="11" s="1"/>
  <c r="E44" i="11"/>
  <c r="D44" i="11"/>
  <c r="D45" i="11"/>
  <c r="G105" i="11"/>
  <c r="G52" i="11"/>
  <c r="F52" i="11" s="1"/>
  <c r="E52" i="11" s="1"/>
  <c r="D52" i="11" s="1"/>
  <c r="Q52" i="11" s="1"/>
  <c r="G26" i="11"/>
  <c r="F26" i="11" s="1"/>
  <c r="E26" i="11" s="1"/>
  <c r="D26" i="11" s="1"/>
  <c r="Q26" i="11"/>
  <c r="G49" i="11"/>
  <c r="G95" i="11"/>
  <c r="F95" i="11" s="1"/>
  <c r="D18" i="11"/>
  <c r="Q18" i="11"/>
  <c r="G50" i="11"/>
  <c r="F50" i="11" s="1"/>
  <c r="E50" i="11" s="1"/>
  <c r="D50" i="11" s="1"/>
  <c r="Q50" i="11" s="1"/>
  <c r="G79" i="11"/>
  <c r="F79" i="11" s="1"/>
  <c r="E79" i="11" s="1"/>
  <c r="D79" i="11" s="1"/>
  <c r="Q79" i="11" s="1"/>
  <c r="G101" i="11"/>
  <c r="D119" i="11"/>
  <c r="Q119" i="11" s="1"/>
  <c r="G127" i="11"/>
  <c r="F127" i="11"/>
  <c r="E127" i="11" s="1"/>
  <c r="D127" i="11" s="1"/>
  <c r="Q127" i="11" s="1"/>
  <c r="G93" i="11"/>
  <c r="G47" i="11"/>
  <c r="F47" i="11" s="1"/>
  <c r="E47" i="11"/>
  <c r="D47" i="11" s="1"/>
  <c r="Q47" i="11" s="1"/>
  <c r="F70" i="11"/>
  <c r="E70" i="11"/>
  <c r="D70" i="11"/>
  <c r="Q70" i="11" s="1"/>
  <c r="G99" i="11"/>
  <c r="F38" i="11"/>
  <c r="E38" i="11" s="1"/>
  <c r="D38" i="11" s="1"/>
  <c r="Q38" i="11" s="1"/>
  <c r="D107" i="11"/>
  <c r="G115" i="11"/>
  <c r="E115" i="11"/>
  <c r="D115" i="11" s="1"/>
  <c r="Q115" i="11"/>
  <c r="G124" i="11"/>
  <c r="G43" i="11"/>
  <c r="F43" i="11" s="1"/>
  <c r="E43" i="11" s="1"/>
  <c r="D43" i="11" s="1"/>
  <c r="Q43" i="11"/>
  <c r="G35" i="11"/>
  <c r="F35" i="11" s="1"/>
  <c r="G31" i="11"/>
  <c r="F31" i="11" s="1"/>
  <c r="E31" i="11" s="1"/>
  <c r="D31" i="11" s="1"/>
  <c r="G58" i="11"/>
  <c r="G17" i="11"/>
  <c r="D38" i="10"/>
  <c r="Q38" i="10"/>
  <c r="F31" i="10"/>
  <c r="E31" i="10" s="1"/>
  <c r="D31" i="10"/>
  <c r="Q31" i="10" s="1"/>
  <c r="E32" i="10"/>
  <c r="D32" i="10" s="1"/>
  <c r="Q60" i="10"/>
  <c r="H52" i="14"/>
  <c r="F52" i="14" s="1"/>
  <c r="H81" i="14"/>
  <c r="H119" i="14"/>
  <c r="H123" i="14"/>
  <c r="H125" i="14"/>
  <c r="H127" i="14"/>
  <c r="I7" i="14"/>
  <c r="I11" i="14"/>
  <c r="I15" i="14"/>
  <c r="I19" i="14"/>
  <c r="I28" i="14"/>
  <c r="I32" i="14"/>
  <c r="I37" i="14"/>
  <c r="I41" i="14"/>
  <c r="I45" i="14"/>
  <c r="I50" i="14"/>
  <c r="M10" i="14"/>
  <c r="M14" i="14"/>
  <c r="M18" i="14"/>
  <c r="G18" i="14" s="1"/>
  <c r="M23" i="14"/>
  <c r="M27" i="14"/>
  <c r="M31" i="14"/>
  <c r="G31" i="14" s="1"/>
  <c r="M36" i="14"/>
  <c r="M40" i="14"/>
  <c r="M44" i="14"/>
  <c r="M49" i="14"/>
  <c r="G49" i="14" s="1"/>
  <c r="F49" i="14" s="1"/>
  <c r="M77" i="14"/>
  <c r="H89" i="14"/>
  <c r="I89" i="14"/>
  <c r="M7" i="14"/>
  <c r="G7" i="14"/>
  <c r="F7" i="14" s="1"/>
  <c r="E7" i="14"/>
  <c r="D7" i="14" s="1"/>
  <c r="Q7" i="14" s="1"/>
  <c r="M11" i="14"/>
  <c r="M15" i="14"/>
  <c r="M19" i="14"/>
  <c r="M24" i="14"/>
  <c r="G24" i="14"/>
  <c r="M28" i="14"/>
  <c r="M32" i="14"/>
  <c r="G32" i="14" s="1"/>
  <c r="F32" i="14" s="1"/>
  <c r="E32" i="14" s="1"/>
  <c r="D32" i="14" s="1"/>
  <c r="M37" i="14"/>
  <c r="G37" i="14"/>
  <c r="F37" i="14" s="1"/>
  <c r="E37" i="14" s="1"/>
  <c r="D37" i="14" s="1"/>
  <c r="M41" i="14"/>
  <c r="G41" i="14" s="1"/>
  <c r="F41" i="14" s="1"/>
  <c r="E41" i="14" s="1"/>
  <c r="D41" i="14" s="1"/>
  <c r="M45" i="14"/>
  <c r="M50" i="14"/>
  <c r="M52" i="14"/>
  <c r="H55" i="14"/>
  <c r="H57" i="14"/>
  <c r="H59" i="14"/>
  <c r="H61" i="14"/>
  <c r="H64" i="14"/>
  <c r="M64" i="14"/>
  <c r="G64" i="14" s="1"/>
  <c r="F64" i="14"/>
  <c r="E64" i="14" s="1"/>
  <c r="D64" i="14" s="1"/>
  <c r="Q64" i="14" s="1"/>
  <c r="H68" i="14"/>
  <c r="H72" i="14"/>
  <c r="H74" i="14"/>
  <c r="M79" i="14"/>
  <c r="I84" i="14"/>
  <c r="H84" i="14"/>
  <c r="M84" i="14"/>
  <c r="K84" i="14"/>
  <c r="G84" i="14" s="1"/>
  <c r="F84" i="14" s="1"/>
  <c r="E84" i="14" s="1"/>
  <c r="D84" i="14" s="1"/>
  <c r="Q84" i="14" s="1"/>
  <c r="M124" i="14"/>
  <c r="Q124" i="14" s="1"/>
  <c r="M120" i="14"/>
  <c r="G120" i="14"/>
  <c r="M116" i="14"/>
  <c r="M114" i="14"/>
  <c r="G114" i="14" s="1"/>
  <c r="F114" i="14" s="1"/>
  <c r="E114" i="14" s="1"/>
  <c r="D114" i="14" s="1"/>
  <c r="H114" i="14"/>
  <c r="M112" i="14"/>
  <c r="M110" i="14"/>
  <c r="G110" i="14"/>
  <c r="H110" i="14"/>
  <c r="M108" i="14"/>
  <c r="G108" i="14" s="1"/>
  <c r="H108" i="14"/>
  <c r="F108" i="14" s="1"/>
  <c r="E108" i="14" s="1"/>
  <c r="D108" i="14" s="1"/>
  <c r="Q108" i="14" s="1"/>
  <c r="M106" i="14"/>
  <c r="M103" i="14"/>
  <c r="G103" i="14" s="1"/>
  <c r="F103" i="14" s="1"/>
  <c r="E103" i="14" s="1"/>
  <c r="D103" i="14" s="1"/>
  <c r="H103" i="14"/>
  <c r="M101" i="14"/>
  <c r="H101" i="14"/>
  <c r="M99" i="14"/>
  <c r="G99" i="14" s="1"/>
  <c r="M97" i="14"/>
  <c r="M95" i="14"/>
  <c r="M93" i="14"/>
  <c r="G93" i="14"/>
  <c r="H93" i="14"/>
  <c r="F93" i="14"/>
  <c r="E93" i="14" s="1"/>
  <c r="D93" i="14" s="1"/>
  <c r="I93" i="14"/>
  <c r="M130" i="14"/>
  <c r="G130" i="14" s="1"/>
  <c r="M126" i="14"/>
  <c r="G126" i="14"/>
  <c r="F126" i="14" s="1"/>
  <c r="E126" i="14" s="1"/>
  <c r="D126" i="14" s="1"/>
  <c r="M122" i="14"/>
  <c r="G122" i="14"/>
  <c r="F122" i="14"/>
  <c r="E122" i="14" s="1"/>
  <c r="D122" i="14"/>
  <c r="Q122" i="14" s="1"/>
  <c r="M117" i="14"/>
  <c r="G117" i="14"/>
  <c r="F117" i="14" s="1"/>
  <c r="E117" i="14"/>
  <c r="D117" i="14"/>
  <c r="Q117" i="14" s="1"/>
  <c r="M115" i="14"/>
  <c r="M113" i="14"/>
  <c r="G113" i="14" s="1"/>
  <c r="F113" i="14" s="1"/>
  <c r="E113" i="14" s="1"/>
  <c r="D113" i="14" s="1"/>
  <c r="M111" i="14"/>
  <c r="G111" i="14" s="1"/>
  <c r="F111" i="14"/>
  <c r="I111" i="14"/>
  <c r="E111" i="14" s="1"/>
  <c r="D111" i="14" s="1"/>
  <c r="Q111" i="14" s="1"/>
  <c r="M109" i="14"/>
  <c r="G109" i="14" s="1"/>
  <c r="F109" i="14" s="1"/>
  <c r="M107" i="14"/>
  <c r="I107" i="14"/>
  <c r="M105" i="14"/>
  <c r="G105" i="14"/>
  <c r="F105" i="14" s="1"/>
  <c r="E105" i="14" s="1"/>
  <c r="D105" i="14" s="1"/>
  <c r="Q105" i="14" s="1"/>
  <c r="M102" i="14"/>
  <c r="G102" i="14"/>
  <c r="F102" i="14"/>
  <c r="E102" i="14" s="1"/>
  <c r="D102" i="14" s="1"/>
  <c r="Q102" i="14" s="1"/>
  <c r="I102" i="14"/>
  <c r="M100" i="14"/>
  <c r="G100" i="14" s="1"/>
  <c r="F100" i="14" s="1"/>
  <c r="I100" i="14"/>
  <c r="E100" i="14"/>
  <c r="D100" i="14" s="1"/>
  <c r="Q100" i="14" s="1"/>
  <c r="M98" i="14"/>
  <c r="G98" i="14"/>
  <c r="F98" i="14" s="1"/>
  <c r="I98" i="14"/>
  <c r="E98" i="14" s="1"/>
  <c r="D98" i="14" s="1"/>
  <c r="M96" i="14"/>
  <c r="G96" i="14"/>
  <c r="F96" i="14"/>
  <c r="E96" i="14" s="1"/>
  <c r="D96" i="14" s="1"/>
  <c r="Q96" i="14" s="1"/>
  <c r="M94" i="14"/>
  <c r="G94" i="14"/>
  <c r="M92" i="14"/>
  <c r="Q92" i="14" s="1"/>
  <c r="G92" i="14"/>
  <c r="F92" i="14" s="1"/>
  <c r="E92" i="14" s="1"/>
  <c r="D92" i="14" s="1"/>
  <c r="M89" i="14"/>
  <c r="K89" i="14"/>
  <c r="G89" i="14"/>
  <c r="F89" i="14"/>
  <c r="E89" i="14" s="1"/>
  <c r="D89" i="14" s="1"/>
  <c r="Q89" i="14" s="1"/>
  <c r="M121" i="14"/>
  <c r="G121" i="14"/>
  <c r="M123" i="14"/>
  <c r="G123" i="14" s="1"/>
  <c r="F123" i="14" s="1"/>
  <c r="E123" i="14" s="1"/>
  <c r="D123" i="14" s="1"/>
  <c r="Q123" i="14" s="1"/>
  <c r="M85" i="14"/>
  <c r="M127" i="14"/>
  <c r="G127" i="14" s="1"/>
  <c r="F127" i="14" s="1"/>
  <c r="E127" i="14" s="1"/>
  <c r="D127" i="14" s="1"/>
  <c r="M88" i="14"/>
  <c r="M83" i="14"/>
  <c r="K83" i="14"/>
  <c r="G83" i="14" s="1"/>
  <c r="M82" i="14"/>
  <c r="K82" i="14"/>
  <c r="M80" i="14"/>
  <c r="M75" i="14"/>
  <c r="M73" i="14"/>
  <c r="H73" i="14"/>
  <c r="M71" i="14"/>
  <c r="M69" i="14"/>
  <c r="G69" i="14"/>
  <c r="H69" i="14"/>
  <c r="M67" i="14"/>
  <c r="M65" i="14"/>
  <c r="G65" i="14"/>
  <c r="H65" i="14"/>
  <c r="F65" i="14" s="1"/>
  <c r="E65" i="14" s="1"/>
  <c r="D65" i="14" s="1"/>
  <c r="Q65" i="14" s="1"/>
  <c r="M63" i="14"/>
  <c r="M60" i="14"/>
  <c r="H60" i="14"/>
  <c r="M58" i="14"/>
  <c r="M56" i="14"/>
  <c r="G56" i="14" s="1"/>
  <c r="F56" i="14" s="1"/>
  <c r="E56" i="14" s="1"/>
  <c r="D56" i="14" s="1"/>
  <c r="Q56" i="14" s="1"/>
  <c r="M54" i="14"/>
  <c r="G54" i="14" s="1"/>
  <c r="H54" i="14"/>
  <c r="F54" i="14"/>
  <c r="E54" i="14"/>
  <c r="D54" i="14" s="1"/>
  <c r="M125" i="14"/>
  <c r="M119" i="14"/>
  <c r="G119" i="14"/>
  <c r="F119" i="14" s="1"/>
  <c r="E119" i="14"/>
  <c r="D119" i="14" s="1"/>
  <c r="Q119" i="14" s="1"/>
  <c r="M91" i="14"/>
  <c r="M87" i="14"/>
  <c r="G87" i="14" s="1"/>
  <c r="M86" i="14"/>
  <c r="M78" i="14"/>
  <c r="M74" i="14"/>
  <c r="M72" i="14"/>
  <c r="M70" i="14"/>
  <c r="M68" i="14"/>
  <c r="M66" i="14"/>
  <c r="M61" i="14"/>
  <c r="M59" i="14"/>
  <c r="G59" i="14"/>
  <c r="F59" i="14"/>
  <c r="E59" i="14" s="1"/>
  <c r="D59" i="14" s="1"/>
  <c r="Q59" i="14" s="1"/>
  <c r="M57" i="14"/>
  <c r="G57" i="14"/>
  <c r="F57" i="14" s="1"/>
  <c r="M55" i="14"/>
  <c r="M8" i="14"/>
  <c r="M12" i="14"/>
  <c r="M16" i="14"/>
  <c r="G16" i="14" s="1"/>
  <c r="M21" i="14"/>
  <c r="G21" i="14" s="1"/>
  <c r="F21" i="14" s="1"/>
  <c r="E21" i="14" s="1"/>
  <c r="D21" i="14" s="1"/>
  <c r="Q21" i="14" s="1"/>
  <c r="M25" i="14"/>
  <c r="M29" i="14"/>
  <c r="M33" i="14"/>
  <c r="G33" i="14"/>
  <c r="F33" i="14" s="1"/>
  <c r="E33" i="14" s="1"/>
  <c r="D33" i="14" s="1"/>
  <c r="Q33" i="14" s="1"/>
  <c r="M38" i="14"/>
  <c r="M42" i="14"/>
  <c r="M46" i="14"/>
  <c r="H85" i="14"/>
  <c r="I85" i="14"/>
  <c r="M9" i="14"/>
  <c r="M13" i="14"/>
  <c r="M17" i="14"/>
  <c r="M22" i="14"/>
  <c r="G22" i="14" s="1"/>
  <c r="F22" i="14" s="1"/>
  <c r="E22" i="14" s="1"/>
  <c r="D22" i="14" s="1"/>
  <c r="Q22" i="14" s="1"/>
  <c r="M26" i="14"/>
  <c r="M30" i="14"/>
  <c r="M35" i="14"/>
  <c r="G35" i="14"/>
  <c r="M39" i="14"/>
  <c r="M43" i="14"/>
  <c r="M47" i="14"/>
  <c r="G47" i="14"/>
  <c r="M51" i="14"/>
  <c r="M53" i="14"/>
  <c r="H56" i="14"/>
  <c r="H58" i="14"/>
  <c r="H63" i="14"/>
  <c r="H67" i="14"/>
  <c r="H71" i="14"/>
  <c r="H75" i="14"/>
  <c r="K88" i="14"/>
  <c r="K87" i="14"/>
  <c r="K86" i="14"/>
  <c r="G86" i="14"/>
  <c r="F86" i="14" s="1"/>
  <c r="E86" i="14" s="1"/>
  <c r="D86" i="14" s="1"/>
  <c r="Q86" i="14" s="1"/>
  <c r="K85" i="14"/>
  <c r="K80" i="14"/>
  <c r="I88" i="14"/>
  <c r="I91" i="14"/>
  <c r="E91" i="14" s="1"/>
  <c r="D91" i="14" s="1"/>
  <c r="Q91" i="14" s="1"/>
  <c r="I96" i="14"/>
  <c r="I105" i="14"/>
  <c r="I109" i="14"/>
  <c r="H95" i="14"/>
  <c r="H97" i="14"/>
  <c r="F97" i="14" s="1"/>
  <c r="E97" i="14" s="1"/>
  <c r="D97" i="14" s="1"/>
  <c r="Q97" i="14" s="1"/>
  <c r="H99" i="14"/>
  <c r="H106" i="14"/>
  <c r="H112" i="14"/>
  <c r="H116" i="14"/>
  <c r="G30" i="14"/>
  <c r="F30" i="14"/>
  <c r="E30" i="14" s="1"/>
  <c r="D30" i="14" s="1"/>
  <c r="Q30" i="14" s="1"/>
  <c r="G13" i="14"/>
  <c r="F13" i="14"/>
  <c r="E13" i="14"/>
  <c r="D13" i="14" s="1"/>
  <c r="Q13" i="14" s="1"/>
  <c r="G43" i="14"/>
  <c r="F43" i="14" s="1"/>
  <c r="E43" i="14" s="1"/>
  <c r="D43" i="14" s="1"/>
  <c r="Q43" i="14" s="1"/>
  <c r="G9" i="14"/>
  <c r="G50" i="14"/>
  <c r="F50" i="14"/>
  <c r="E50" i="14"/>
  <c r="D50" i="14"/>
  <c r="Q50" i="14" s="1"/>
  <c r="Q32" i="14"/>
  <c r="G44" i="14"/>
  <c r="F44" i="14" s="1"/>
  <c r="E44" i="14" s="1"/>
  <c r="D44" i="14" s="1"/>
  <c r="Q44" i="14" s="1"/>
  <c r="G39" i="14"/>
  <c r="F39" i="14" s="1"/>
  <c r="E39" i="14" s="1"/>
  <c r="D39" i="14" s="1"/>
  <c r="Q39" i="14" s="1"/>
  <c r="G28" i="14"/>
  <c r="F28" i="14"/>
  <c r="E28" i="14" s="1"/>
  <c r="D28" i="14" s="1"/>
  <c r="Q28" i="14"/>
  <c r="G11" i="14"/>
  <c r="F11" i="14" s="1"/>
  <c r="E11" i="14" s="1"/>
  <c r="D11" i="14" s="1"/>
  <c r="Q11" i="14" s="1"/>
  <c r="G40" i="14"/>
  <c r="G46" i="14"/>
  <c r="G29" i="14"/>
  <c r="G12" i="14"/>
  <c r="G77" i="14"/>
  <c r="G36" i="14"/>
  <c r="F36" i="14" s="1"/>
  <c r="E36" i="14" s="1"/>
  <c r="D36" i="14" s="1"/>
  <c r="Q36" i="14" s="1"/>
  <c r="K183" i="5"/>
  <c r="K71" i="5"/>
  <c r="K73" i="5"/>
  <c r="K25" i="5"/>
  <c r="K65" i="5"/>
  <c r="K182" i="5"/>
  <c r="K28" i="5"/>
  <c r="K75" i="5"/>
  <c r="K32" i="5"/>
  <c r="K66" i="5"/>
  <c r="K38" i="5"/>
  <c r="K55" i="5"/>
  <c r="K64" i="5"/>
  <c r="K58" i="5"/>
  <c r="K165" i="5"/>
  <c r="K69" i="5"/>
  <c r="K186" i="5"/>
  <c r="K67" i="5"/>
  <c r="K74" i="5"/>
  <c r="K181" i="5"/>
  <c r="K23" i="5"/>
  <c r="K68" i="5"/>
  <c r="K40" i="5"/>
  <c r="K187" i="5"/>
  <c r="K44" i="5"/>
  <c r="E49" i="14"/>
  <c r="D49" i="14" s="1"/>
  <c r="Q49" i="14" s="1"/>
  <c r="G52" i="14"/>
  <c r="E52" i="14"/>
  <c r="D52" i="14" s="1"/>
  <c r="Q52" i="14" s="1"/>
  <c r="G124" i="14"/>
  <c r="G26" i="14"/>
  <c r="F26" i="14" s="1"/>
  <c r="E26" i="14" s="1"/>
  <c r="D26" i="14"/>
  <c r="Q26" i="14" s="1"/>
  <c r="G42" i="14"/>
  <c r="G8" i="14"/>
  <c r="H82" i="14"/>
  <c r="G55" i="11"/>
  <c r="F55" i="11" s="1"/>
  <c r="E55" i="11" s="1"/>
  <c r="D55" i="11" s="1"/>
  <c r="Q55" i="11" s="1"/>
  <c r="G26" i="10"/>
  <c r="H113" i="14"/>
  <c r="I113" i="14"/>
  <c r="H46" i="14"/>
  <c r="F46" i="14"/>
  <c r="E46" i="14"/>
  <c r="D46" i="14" s="1"/>
  <c r="F120" i="11"/>
  <c r="E120" i="11"/>
  <c r="D120" i="11" s="1"/>
  <c r="Q120" i="11" s="1"/>
  <c r="Q93" i="14"/>
  <c r="H31" i="14"/>
  <c r="F31" i="14"/>
  <c r="E31" i="14" s="1"/>
  <c r="D31" i="14" s="1"/>
  <c r="Q31" i="14" s="1"/>
  <c r="I31" i="14"/>
  <c r="G97" i="14"/>
  <c r="G27" i="14"/>
  <c r="F124" i="11"/>
  <c r="E124" i="11"/>
  <c r="D124" i="11" s="1"/>
  <c r="Q124" i="11" s="1"/>
  <c r="G73" i="11"/>
  <c r="F73" i="11" s="1"/>
  <c r="E73" i="11" s="1"/>
  <c r="D73" i="11" s="1"/>
  <c r="K81" i="14"/>
  <c r="G81" i="14"/>
  <c r="F81" i="14" s="1"/>
  <c r="E81" i="14" s="1"/>
  <c r="D81" i="14" s="1"/>
  <c r="H115" i="14"/>
  <c r="I115" i="14"/>
  <c r="G91" i="14"/>
  <c r="F91" i="14"/>
  <c r="G125" i="14"/>
  <c r="F125" i="14" s="1"/>
  <c r="E125" i="14" s="1"/>
  <c r="D125" i="14" s="1"/>
  <c r="E109" i="14"/>
  <c r="D109" i="14" s="1"/>
  <c r="G177" i="7"/>
  <c r="F177" i="7" s="1"/>
  <c r="E177" i="7" s="1"/>
  <c r="D177" i="7" s="1"/>
  <c r="Q177" i="7" s="1"/>
  <c r="I10" i="7"/>
  <c r="H10" i="7"/>
  <c r="H42" i="7"/>
  <c r="I42" i="7"/>
  <c r="G85" i="11"/>
  <c r="F85" i="11" s="1"/>
  <c r="E85" i="11" s="1"/>
  <c r="D85" i="11"/>
  <c r="Q85" i="11"/>
  <c r="H73" i="11"/>
  <c r="I73" i="11"/>
  <c r="H87" i="14"/>
  <c r="F87" i="14"/>
  <c r="E87" i="14" s="1"/>
  <c r="D87" i="14" s="1"/>
  <c r="Q87" i="14" s="1"/>
  <c r="I87" i="14"/>
  <c r="I120" i="14"/>
  <c r="H120" i="14"/>
  <c r="F120" i="14"/>
  <c r="E120" i="14"/>
  <c r="D120" i="14" s="1"/>
  <c r="Q120" i="14" s="1"/>
  <c r="G68" i="14"/>
  <c r="F68" i="14"/>
  <c r="E68" i="14" s="1"/>
  <c r="D68" i="14" s="1"/>
  <c r="Q68" i="14" s="1"/>
  <c r="G167" i="7"/>
  <c r="F167" i="7" s="1"/>
  <c r="E167" i="7" s="1"/>
  <c r="D167" i="7" s="1"/>
  <c r="Q167" i="7" s="1"/>
  <c r="I75" i="7"/>
  <c r="H75" i="7"/>
  <c r="G77" i="7"/>
  <c r="F77" i="7" s="1"/>
  <c r="E77" i="7" s="1"/>
  <c r="D77" i="7" s="1"/>
  <c r="Q77" i="7" s="1"/>
  <c r="G36" i="7"/>
  <c r="G84" i="11"/>
  <c r="F84" i="11" s="1"/>
  <c r="E84" i="11" s="1"/>
  <c r="D84" i="11" s="1"/>
  <c r="Q84" i="11" s="1"/>
  <c r="G185" i="7"/>
  <c r="F185" i="7" s="1"/>
  <c r="E185" i="7" s="1"/>
  <c r="D185" i="7" s="1"/>
  <c r="Q185" i="7" s="1"/>
  <c r="G106" i="11"/>
  <c r="F106" i="11"/>
  <c r="E106" i="11"/>
  <c r="D106" i="11"/>
  <c r="Q106" i="11" s="1"/>
  <c r="G51" i="14"/>
  <c r="F51" i="14" s="1"/>
  <c r="E51" i="14" s="1"/>
  <c r="D51" i="14" s="1"/>
  <c r="Q51" i="14" s="1"/>
  <c r="G71" i="11"/>
  <c r="F71" i="11" s="1"/>
  <c r="E71" i="11" s="1"/>
  <c r="D71" i="11" s="1"/>
  <c r="Q71" i="11" s="1"/>
  <c r="G125" i="11"/>
  <c r="F125" i="11"/>
  <c r="E125" i="11" s="1"/>
  <c r="D125" i="11" s="1"/>
  <c r="G55" i="10"/>
  <c r="H50" i="7"/>
  <c r="I50" i="7"/>
  <c r="G94" i="7"/>
  <c r="F94" i="7" s="1"/>
  <c r="H45" i="7"/>
  <c r="G115" i="14"/>
  <c r="G112" i="14"/>
  <c r="F112" i="14" s="1"/>
  <c r="E112" i="14" s="1"/>
  <c r="D112" i="14"/>
  <c r="Q112" i="14" s="1"/>
  <c r="F61" i="11"/>
  <c r="E61" i="11" s="1"/>
  <c r="D61" i="11" s="1"/>
  <c r="H95" i="11"/>
  <c r="I95" i="11"/>
  <c r="E95" i="11" s="1"/>
  <c r="D95" i="11" s="1"/>
  <c r="Q95" i="11" s="1"/>
  <c r="G61" i="14"/>
  <c r="F61" i="14"/>
  <c r="E61" i="14"/>
  <c r="D61" i="14"/>
  <c r="Q61" i="14" s="1"/>
  <c r="G80" i="14"/>
  <c r="E35" i="11"/>
  <c r="D35" i="11" s="1"/>
  <c r="E59" i="11"/>
  <c r="D59" i="11" s="1"/>
  <c r="Q59" i="11" s="1"/>
  <c r="G112" i="11"/>
  <c r="G93" i="10"/>
  <c r="F93" i="10" s="1"/>
  <c r="G15" i="14"/>
  <c r="F15" i="14"/>
  <c r="G85" i="14"/>
  <c r="F85" i="14" s="1"/>
  <c r="G25" i="14"/>
  <c r="H25" i="14"/>
  <c r="F25" i="14"/>
  <c r="E25" i="14" s="1"/>
  <c r="D25" i="14" s="1"/>
  <c r="Q25" i="14" s="1"/>
  <c r="G117" i="11"/>
  <c r="F117" i="11" s="1"/>
  <c r="E117" i="11" s="1"/>
  <c r="D117" i="11" s="1"/>
  <c r="Q117" i="11" s="1"/>
  <c r="Q54" i="14"/>
  <c r="G82" i="10"/>
  <c r="G114" i="11"/>
  <c r="G143" i="7"/>
  <c r="F68" i="11"/>
  <c r="E68" i="11"/>
  <c r="D68" i="11" s="1"/>
  <c r="Q68" i="11" s="1"/>
  <c r="F124" i="10"/>
  <c r="E124" i="10"/>
  <c r="D124" i="10" s="1"/>
  <c r="Q124" i="10"/>
  <c r="G30" i="11"/>
  <c r="F30" i="11" s="1"/>
  <c r="E30" i="11" s="1"/>
  <c r="D30" i="11" s="1"/>
  <c r="Q30" i="11" s="1"/>
  <c r="K82" i="7"/>
  <c r="G82" i="7"/>
  <c r="F82" i="7" s="1"/>
  <c r="E82" i="7" s="1"/>
  <c r="D82" i="7" s="1"/>
  <c r="Q82" i="7" s="1"/>
  <c r="G84" i="7"/>
  <c r="F84" i="7" s="1"/>
  <c r="E84" i="7" s="1"/>
  <c r="D84" i="7" s="1"/>
  <c r="Q84" i="7" s="1"/>
  <c r="I128" i="7"/>
  <c r="H128" i="7"/>
  <c r="H153" i="7"/>
  <c r="G183" i="7"/>
  <c r="F183" i="7" s="1"/>
  <c r="E183" i="7" s="1"/>
  <c r="D183" i="7" s="1"/>
  <c r="Q183" i="7" s="1"/>
  <c r="H123" i="7"/>
  <c r="I123" i="7"/>
  <c r="F9" i="7"/>
  <c r="E9" i="7" s="1"/>
  <c r="D9" i="7" s="1"/>
  <c r="Q9" i="7" s="1"/>
  <c r="K70" i="5"/>
  <c r="K72" i="5"/>
  <c r="K27" i="7"/>
  <c r="H113" i="7"/>
  <c r="I113" i="7"/>
  <c r="G117" i="7"/>
  <c r="F117" i="7" s="1"/>
  <c r="E117" i="7" s="1"/>
  <c r="D117" i="7" s="1"/>
  <c r="Q117" i="7" s="1"/>
  <c r="G135" i="7"/>
  <c r="F135" i="7" s="1"/>
  <c r="E135" i="7" s="1"/>
  <c r="D135" i="7" s="1"/>
  <c r="Q135" i="7" s="1"/>
  <c r="K88" i="7"/>
  <c r="G88" i="7"/>
  <c r="K91" i="7"/>
  <c r="G91" i="7" s="1"/>
  <c r="F91" i="7" s="1"/>
  <c r="E91" i="7" s="1"/>
  <c r="D91" i="7" s="1"/>
  <c r="Q91" i="7" s="1"/>
  <c r="G98" i="7"/>
  <c r="F98" i="7" s="1"/>
  <c r="E98" i="7" s="1"/>
  <c r="D98" i="7" s="1"/>
  <c r="Q98" i="7" s="1"/>
  <c r="K103" i="7"/>
  <c r="K100" i="7"/>
  <c r="G100" i="7" s="1"/>
  <c r="F100" i="7" s="1"/>
  <c r="E100" i="7" s="1"/>
  <c r="D100" i="7" s="1"/>
  <c r="Q100" i="7" s="1"/>
  <c r="K97" i="7"/>
  <c r="G97" i="7" s="1"/>
  <c r="F97" i="7" s="1"/>
  <c r="E97" i="7" s="1"/>
  <c r="D97" i="7" s="1"/>
  <c r="Q97" i="7" s="1"/>
  <c r="K102" i="7"/>
  <c r="K101" i="7"/>
  <c r="K92" i="7"/>
  <c r="K96" i="7"/>
  <c r="K93" i="7"/>
  <c r="I94" i="7"/>
  <c r="G95" i="7"/>
  <c r="F95" i="7" s="1"/>
  <c r="E95" i="7" s="1"/>
  <c r="D95" i="7" s="1"/>
  <c r="Q95" i="7" s="1"/>
  <c r="G38" i="7"/>
  <c r="F38" i="7" s="1"/>
  <c r="I38" i="7"/>
  <c r="G107" i="7"/>
  <c r="F107" i="7" s="1"/>
  <c r="K149" i="7"/>
  <c r="K147" i="7"/>
  <c r="G147" i="7" s="1"/>
  <c r="F147" i="7" s="1"/>
  <c r="E147" i="7" s="1"/>
  <c r="D147" i="7" s="1"/>
  <c r="Q147" i="7" s="1"/>
  <c r="K158" i="7"/>
  <c r="K148" i="7"/>
  <c r="K150" i="7"/>
  <c r="G150" i="7"/>
  <c r="F150" i="7" s="1"/>
  <c r="E150" i="7" s="1"/>
  <c r="D150" i="7" s="1"/>
  <c r="Q150" i="7" s="1"/>
  <c r="K159" i="7"/>
  <c r="K159" i="5"/>
  <c r="I32" i="7"/>
  <c r="H61" i="7"/>
  <c r="I61" i="7"/>
  <c r="I25" i="14"/>
  <c r="H176" i="7"/>
  <c r="F176" i="7"/>
  <c r="E176" i="7" s="1"/>
  <c r="D176" i="7" s="1"/>
  <c r="Q176" i="7" s="1"/>
  <c r="I176" i="7"/>
  <c r="K18" i="7"/>
  <c r="K7" i="7"/>
  <c r="G81" i="7"/>
  <c r="G99" i="7"/>
  <c r="F99" i="7" s="1"/>
  <c r="E99" i="7" s="1"/>
  <c r="D99" i="7" s="1"/>
  <c r="Q99" i="7" s="1"/>
  <c r="F113" i="10"/>
  <c r="E113" i="10" s="1"/>
  <c r="D113" i="10" s="1"/>
  <c r="Q113" i="10" s="1"/>
  <c r="I113" i="10"/>
  <c r="G17" i="7"/>
  <c r="F17" i="7" s="1"/>
  <c r="E17" i="7" s="1"/>
  <c r="D17" i="7" s="1"/>
  <c r="Q17" i="7" s="1"/>
  <c r="I67" i="7"/>
  <c r="I182" i="7"/>
  <c r="G182" i="7"/>
  <c r="F182" i="7" s="1"/>
  <c r="E182" i="7" s="1"/>
  <c r="D182" i="7" s="1"/>
  <c r="Q182" i="7" s="1"/>
  <c r="I35" i="7"/>
  <c r="F35" i="7"/>
  <c r="E35" i="7" s="1"/>
  <c r="D35" i="7" s="1"/>
  <c r="Q35" i="7" s="1"/>
  <c r="G71" i="7"/>
  <c r="F71" i="7" s="1"/>
  <c r="E71" i="7" s="1"/>
  <c r="D71" i="7" s="1"/>
  <c r="Q71" i="7" s="1"/>
  <c r="H11" i="7"/>
  <c r="H35" i="14"/>
  <c r="F35" i="14"/>
  <c r="E35" i="14" s="1"/>
  <c r="D35" i="14" s="1"/>
  <c r="Q35" i="14" s="1"/>
  <c r="I35" i="14"/>
  <c r="I74" i="7"/>
  <c r="G74" i="7"/>
  <c r="F74" i="7" s="1"/>
  <c r="I110" i="7"/>
  <c r="G110" i="7"/>
  <c r="F110" i="7" s="1"/>
  <c r="G133" i="7"/>
  <c r="G180" i="7"/>
  <c r="F180" i="7" s="1"/>
  <c r="E180" i="7" s="1"/>
  <c r="D180" i="7" s="1"/>
  <c r="Q180" i="7" s="1"/>
  <c r="I42" i="14"/>
  <c r="H42" i="14"/>
  <c r="I41" i="7"/>
  <c r="G69" i="7"/>
  <c r="F69" i="7" s="1"/>
  <c r="E69" i="7" s="1"/>
  <c r="D69" i="7" s="1"/>
  <c r="Q69" i="7" s="1"/>
  <c r="G184" i="7"/>
  <c r="F184" i="7" s="1"/>
  <c r="E184" i="7" s="1"/>
  <c r="D184" i="7" s="1"/>
  <c r="Q184" i="7" s="1"/>
  <c r="H108" i="10"/>
  <c r="I108" i="10"/>
  <c r="I12" i="14"/>
  <c r="H12" i="14"/>
  <c r="F12" i="14"/>
  <c r="E12" i="14" s="1"/>
  <c r="D12" i="14" s="1"/>
  <c r="Q12" i="14" s="1"/>
  <c r="K28" i="7"/>
  <c r="G28" i="7"/>
  <c r="F28" i="7" s="1"/>
  <c r="E28" i="7" s="1"/>
  <c r="D28" i="7" s="1"/>
  <c r="Q28" i="7" s="1"/>
  <c r="K26" i="7"/>
  <c r="K24" i="7"/>
  <c r="K25" i="7"/>
  <c r="K22" i="7"/>
  <c r="K31" i="7"/>
  <c r="H36" i="7"/>
  <c r="I101" i="7"/>
  <c r="G131" i="7"/>
  <c r="F131" i="7" s="1"/>
  <c r="E131" i="7" s="1"/>
  <c r="D131" i="7" s="1"/>
  <c r="Q131" i="7" s="1"/>
  <c r="G125" i="10"/>
  <c r="G79" i="7"/>
  <c r="F79" i="7" s="1"/>
  <c r="E79" i="7" s="1"/>
  <c r="D79" i="7" s="1"/>
  <c r="Q79" i="7" s="1"/>
  <c r="H142" i="7"/>
  <c r="I142" i="7"/>
  <c r="K169" i="7"/>
  <c r="G169" i="7"/>
  <c r="F169" i="7" s="1"/>
  <c r="E169" i="7" s="1"/>
  <c r="D169" i="7" s="1"/>
  <c r="Q169" i="7" s="1"/>
  <c r="K173" i="7"/>
  <c r="K161" i="7"/>
  <c r="K166" i="7"/>
  <c r="G166" i="7"/>
  <c r="F166" i="7" s="1"/>
  <c r="E166" i="7" s="1"/>
  <c r="D166" i="7" s="1"/>
  <c r="Q166" i="7" s="1"/>
  <c r="K165" i="7"/>
  <c r="G165" i="7" s="1"/>
  <c r="F165" i="7" s="1"/>
  <c r="E165" i="7" s="1"/>
  <c r="D165" i="7" s="1"/>
  <c r="Q165" i="7" s="1"/>
  <c r="H165" i="7"/>
  <c r="K162" i="7"/>
  <c r="G162" i="7"/>
  <c r="F162" i="7" s="1"/>
  <c r="E162" i="7" s="1"/>
  <c r="D162" i="7" s="1"/>
  <c r="Q162" i="7" s="1"/>
  <c r="H116" i="10"/>
  <c r="I116" i="10"/>
  <c r="I98" i="11"/>
  <c r="H98" i="11"/>
  <c r="I94" i="14"/>
  <c r="H94" i="14"/>
  <c r="F94" i="14" s="1"/>
  <c r="E94" i="14" s="1"/>
  <c r="D94" i="14" s="1"/>
  <c r="Q94" i="14" s="1"/>
  <c r="I96" i="7"/>
  <c r="K57" i="7"/>
  <c r="K49" i="7"/>
  <c r="G49" i="7" s="1"/>
  <c r="F49" i="7" s="1"/>
  <c r="E49" i="7" s="1"/>
  <c r="D49" i="7" s="1"/>
  <c r="Q49" i="7" s="1"/>
  <c r="K54" i="7"/>
  <c r="G60" i="7"/>
  <c r="F60" i="7" s="1"/>
  <c r="E60" i="7" s="1"/>
  <c r="D60" i="7" s="1"/>
  <c r="Q60" i="7" s="1"/>
  <c r="G63" i="7"/>
  <c r="H102" i="7"/>
  <c r="G108" i="7"/>
  <c r="F108" i="7" s="1"/>
  <c r="E108" i="7" s="1"/>
  <c r="D108" i="7" s="1"/>
  <c r="Q108" i="7" s="1"/>
  <c r="I149" i="7"/>
  <c r="H149" i="7"/>
  <c r="G173" i="7"/>
  <c r="F173" i="7" s="1"/>
  <c r="E173" i="7" s="1"/>
  <c r="D173" i="7" s="1"/>
  <c r="Q173" i="7" s="1"/>
  <c r="I53" i="7"/>
  <c r="G66" i="7"/>
  <c r="F66" i="7" s="1"/>
  <c r="E66" i="7" s="1"/>
  <c r="D66" i="7" s="1"/>
  <c r="Q66" i="7" s="1"/>
  <c r="G145" i="7"/>
  <c r="F145" i="7" s="1"/>
  <c r="H155" i="7"/>
  <c r="H164" i="7"/>
  <c r="F164" i="7"/>
  <c r="E164" i="7" s="1"/>
  <c r="D164" i="7" s="1"/>
  <c r="Q164" i="7" s="1"/>
  <c r="H122" i="10"/>
  <c r="I122" i="10"/>
  <c r="I91" i="10"/>
  <c r="H91" i="10"/>
  <c r="F91" i="10"/>
  <c r="E91" i="10" s="1"/>
  <c r="D91" i="10" s="1"/>
  <c r="Q91" i="10" s="1"/>
  <c r="K83" i="7"/>
  <c r="K86" i="7"/>
  <c r="G142" i="7"/>
  <c r="F142" i="7" s="1"/>
  <c r="E142" i="7" s="1"/>
  <c r="D142" i="7" s="1"/>
  <c r="Q142" i="7" s="1"/>
  <c r="G54" i="10"/>
  <c r="F54" i="10" s="1"/>
  <c r="E54" i="10" s="1"/>
  <c r="D54" i="10" s="1"/>
  <c r="Q54" i="10" s="1"/>
  <c r="K84" i="10"/>
  <c r="K80" i="10"/>
  <c r="K81" i="10"/>
  <c r="K77" i="10"/>
  <c r="H80" i="10"/>
  <c r="I58" i="11"/>
  <c r="H58" i="11"/>
  <c r="F58" i="11"/>
  <c r="E58" i="11" s="1"/>
  <c r="D58" i="11"/>
  <c r="Q58" i="11" s="1"/>
  <c r="I22" i="14"/>
  <c r="H22" i="14"/>
  <c r="K85" i="7"/>
  <c r="G149" i="7"/>
  <c r="F149" i="7" s="1"/>
  <c r="H82" i="10"/>
  <c r="F82" i="10" s="1"/>
  <c r="E82" i="10" s="1"/>
  <c r="D82" i="10" s="1"/>
  <c r="Q82" i="10" s="1"/>
  <c r="I82" i="10"/>
  <c r="I109" i="10"/>
  <c r="H109" i="10"/>
  <c r="F109" i="10"/>
  <c r="E109" i="10" s="1"/>
  <c r="D109" i="10" s="1"/>
  <c r="Q109" i="10" s="1"/>
  <c r="H19" i="11"/>
  <c r="F19" i="11" s="1"/>
  <c r="E19" i="11" s="1"/>
  <c r="D19" i="11" s="1"/>
  <c r="Q19" i="11" s="1"/>
  <c r="I19" i="11"/>
  <c r="I46" i="11"/>
  <c r="H46" i="11"/>
  <c r="F46" i="11" s="1"/>
  <c r="E46" i="11" s="1"/>
  <c r="D46" i="11" s="1"/>
  <c r="Q46" i="11" s="1"/>
  <c r="H18" i="14"/>
  <c r="F18" i="14" s="1"/>
  <c r="E18" i="14" s="1"/>
  <c r="D18" i="14" s="1"/>
  <c r="Q18" i="14" s="1"/>
  <c r="I18" i="14"/>
  <c r="G151" i="7"/>
  <c r="F151" i="7" s="1"/>
  <c r="E151" i="7" s="1"/>
  <c r="D151" i="7" s="1"/>
  <c r="Q151" i="7" s="1"/>
  <c r="I185" i="7"/>
  <c r="I79" i="10"/>
  <c r="H79" i="10"/>
  <c r="F79" i="10" s="1"/>
  <c r="E79" i="10" s="1"/>
  <c r="D79" i="10" s="1"/>
  <c r="Q79" i="10" s="1"/>
  <c r="G107" i="10"/>
  <c r="F107" i="10"/>
  <c r="E107" i="10"/>
  <c r="D107" i="10"/>
  <c r="Q107" i="10" s="1"/>
  <c r="H86" i="14"/>
  <c r="I86" i="14"/>
  <c r="K78" i="14"/>
  <c r="I82" i="14"/>
  <c r="H81" i="10"/>
  <c r="H94" i="10"/>
  <c r="E94" i="10"/>
  <c r="D94" i="10"/>
  <c r="I110" i="10"/>
  <c r="E110" i="10"/>
  <c r="D110" i="10"/>
  <c r="Q110" i="10" s="1"/>
  <c r="H114" i="10"/>
  <c r="H123" i="10"/>
  <c r="F123" i="10"/>
  <c r="E123" i="10"/>
  <c r="D123" i="10" s="1"/>
  <c r="Q123" i="10" s="1"/>
  <c r="H64" i="11"/>
  <c r="F64" i="11"/>
  <c r="E64" i="11" s="1"/>
  <c r="D64" i="11"/>
  <c r="Q64" i="11" s="1"/>
  <c r="H75" i="11"/>
  <c r="I33" i="14"/>
  <c r="I43" i="14"/>
  <c r="H79" i="14"/>
  <c r="I79" i="14"/>
  <c r="I124" i="14"/>
  <c r="H124" i="14"/>
  <c r="M129" i="10"/>
  <c r="M128" i="10"/>
  <c r="M116" i="10"/>
  <c r="M98" i="10"/>
  <c r="M68" i="10"/>
  <c r="G68" i="10" s="1"/>
  <c r="F68" i="10" s="1"/>
  <c r="E68" i="10" s="1"/>
  <c r="D68" i="10" s="1"/>
  <c r="M61" i="10"/>
  <c r="M53" i="10"/>
  <c r="M44" i="10"/>
  <c r="G44" i="10" s="1"/>
  <c r="F44" i="10" s="1"/>
  <c r="E44" i="10" s="1"/>
  <c r="D44" i="10" s="1"/>
  <c r="M21" i="10"/>
  <c r="G21" i="10" s="1"/>
  <c r="F21" i="10" s="1"/>
  <c r="E21" i="10" s="1"/>
  <c r="D21" i="10" s="1"/>
  <c r="M131" i="10"/>
  <c r="M126" i="10"/>
  <c r="M96" i="10"/>
  <c r="G96" i="10" s="1"/>
  <c r="F96" i="10" s="1"/>
  <c r="E96" i="10" s="1"/>
  <c r="D96" i="10" s="1"/>
  <c r="M86" i="10"/>
  <c r="G86" i="10" s="1"/>
  <c r="F86" i="10" s="1"/>
  <c r="E86" i="10" s="1"/>
  <c r="D86" i="10" s="1"/>
  <c r="M83" i="10"/>
  <c r="M73" i="10"/>
  <c r="M66" i="10"/>
  <c r="M57" i="10"/>
  <c r="G57" i="10" s="1"/>
  <c r="M49" i="10"/>
  <c r="G49" i="10" s="1"/>
  <c r="F49" i="10" s="1"/>
  <c r="E49" i="10" s="1"/>
  <c r="D49" i="10" s="1"/>
  <c r="M29" i="10"/>
  <c r="M12" i="10"/>
  <c r="K79" i="14"/>
  <c r="G79" i="14" s="1"/>
  <c r="F79" i="14" s="1"/>
  <c r="E79" i="14" s="1"/>
  <c r="D79" i="14" s="1"/>
  <c r="G131" i="10"/>
  <c r="F131" i="10" s="1"/>
  <c r="E131" i="10" s="1"/>
  <c r="D131" i="10" s="1"/>
  <c r="Q131" i="10" s="1"/>
  <c r="G93" i="7"/>
  <c r="F93" i="7" s="1"/>
  <c r="E93" i="7" s="1"/>
  <c r="D93" i="7" s="1"/>
  <c r="Q93" i="7" s="1"/>
  <c r="G31" i="7"/>
  <c r="G86" i="7"/>
  <c r="F86" i="7" s="1"/>
  <c r="E86" i="7" s="1"/>
  <c r="D86" i="7" s="1"/>
  <c r="Q86" i="7" s="1"/>
  <c r="G73" i="10"/>
  <c r="G53" i="10"/>
  <c r="F53" i="10"/>
  <c r="E53" i="10"/>
  <c r="D53" i="10" s="1"/>
  <c r="Q53" i="10" s="1"/>
  <c r="G83" i="7"/>
  <c r="F83" i="7" s="1"/>
  <c r="E83" i="7" s="1"/>
  <c r="D83" i="7" s="1"/>
  <c r="Q83" i="7" s="1"/>
  <c r="G57" i="7"/>
  <c r="F57" i="7" s="1"/>
  <c r="F115" i="14"/>
  <c r="E115" i="14"/>
  <c r="D115" i="14"/>
  <c r="Q115" i="14" s="1"/>
  <c r="G77" i="10"/>
  <c r="F77" i="10"/>
  <c r="E77" i="10" s="1"/>
  <c r="D77" i="10" s="1"/>
  <c r="Q77" i="10" s="1"/>
  <c r="G102" i="7"/>
  <c r="F102" i="7" s="1"/>
  <c r="E102" i="7" s="1"/>
  <c r="D102" i="7" s="1"/>
  <c r="Q102" i="7" s="1"/>
  <c r="G78" i="14"/>
  <c r="G25" i="7"/>
  <c r="F25" i="7" s="1"/>
  <c r="E25" i="7" s="1"/>
  <c r="D25" i="7" s="1"/>
  <c r="Q25" i="7" s="1"/>
  <c r="F36" i="7"/>
  <c r="E36" i="7" s="1"/>
  <c r="D36" i="7" s="1"/>
  <c r="Q36" i="7" s="1"/>
  <c r="F42" i="14"/>
  <c r="E42" i="14" s="1"/>
  <c r="D42" i="14" s="1"/>
  <c r="Q42" i="14" s="1"/>
  <c r="G128" i="10"/>
  <c r="F128" i="10" s="1"/>
  <c r="E128" i="10" s="1"/>
  <c r="D128" i="10" s="1"/>
  <c r="Q128" i="10" s="1"/>
  <c r="G96" i="7"/>
  <c r="F96" i="7" s="1"/>
  <c r="E96" i="7" s="1"/>
  <c r="D96" i="7" s="1"/>
  <c r="Q96" i="7" s="1"/>
  <c r="G61" i="10"/>
  <c r="F61" i="10"/>
  <c r="E61" i="10" s="1"/>
  <c r="D61" i="10" s="1"/>
  <c r="Q61" i="10" s="1"/>
  <c r="G158" i="7"/>
  <c r="F158" i="7" s="1"/>
  <c r="E158" i="7" s="1"/>
  <c r="D158" i="7" s="1"/>
  <c r="Q158" i="7" s="1"/>
  <c r="G98" i="10"/>
  <c r="F98" i="10"/>
  <c r="E98" i="10" s="1"/>
  <c r="D98" i="10" s="1"/>
  <c r="Q98" i="10" s="1"/>
  <c r="G85" i="7"/>
  <c r="F85" i="7" s="1"/>
  <c r="E85" i="7" s="1"/>
  <c r="D85" i="7" s="1"/>
  <c r="Q85" i="7" s="1"/>
  <c r="G80" i="10"/>
  <c r="F80" i="10" s="1"/>
  <c r="E80" i="10" s="1"/>
  <c r="D80" i="10" s="1"/>
  <c r="Q80" i="10" s="1"/>
  <c r="G161" i="7"/>
  <c r="F161" i="7" s="1"/>
  <c r="E161" i="7" s="1"/>
  <c r="D161" i="7" s="1"/>
  <c r="Q161" i="7" s="1"/>
  <c r="G24" i="7"/>
  <c r="F124" i="14"/>
  <c r="E124" i="14" s="1"/>
  <c r="D124" i="14" s="1"/>
  <c r="G26" i="7"/>
  <c r="F26" i="7" s="1"/>
  <c r="E26" i="7" s="1"/>
  <c r="D26" i="7" s="1"/>
  <c r="Q26" i="7" s="1"/>
  <c r="G54" i="7"/>
  <c r="G18" i="7"/>
  <c r="F18" i="7" s="1"/>
  <c r="E18" i="7" s="1"/>
  <c r="D18" i="7" s="1"/>
  <c r="Q18" i="7" s="1"/>
  <c r="G83" i="10"/>
  <c r="F83" i="10" s="1"/>
  <c r="E83" i="10" s="1"/>
  <c r="D83" i="10" s="1"/>
  <c r="Q83" i="10" s="1"/>
  <c r="G12" i="10"/>
  <c r="F12" i="10"/>
  <c r="E12" i="10" s="1"/>
  <c r="D12" i="10" s="1"/>
  <c r="Q12" i="10" s="1"/>
  <c r="G29" i="10"/>
  <c r="F29" i="10" s="1"/>
  <c r="E29" i="10" s="1"/>
  <c r="D29" i="10" s="1"/>
  <c r="Q29" i="10" s="1"/>
  <c r="G126" i="10"/>
  <c r="G116" i="10"/>
  <c r="F116" i="10"/>
  <c r="E116" i="10"/>
  <c r="D116" i="10" s="1"/>
  <c r="Q116" i="10" s="1"/>
  <c r="G84" i="10"/>
  <c r="F84" i="10" s="1"/>
  <c r="E84" i="10" s="1"/>
  <c r="D84" i="10" s="1"/>
  <c r="Q84" i="10" s="1"/>
  <c r="G103" i="7"/>
  <c r="N215" i="5"/>
  <c r="N216" i="5"/>
  <c r="N217" i="5"/>
  <c r="N214" i="5"/>
  <c r="N213" i="5"/>
  <c r="N212" i="5"/>
  <c r="N211" i="5"/>
  <c r="K162" i="5"/>
  <c r="E328" i="5"/>
  <c r="A311" i="5" s="1"/>
  <c r="E324" i="5"/>
  <c r="A307" i="5" s="1"/>
  <c r="E327" i="5"/>
  <c r="A310" i="5" s="1"/>
  <c r="G7" i="16"/>
  <c r="K139" i="5" l="1"/>
  <c r="I72" i="16"/>
  <c r="H94" i="16"/>
  <c r="I100" i="16"/>
  <c r="I104" i="16"/>
  <c r="I119" i="16"/>
  <c r="H192" i="16"/>
  <c r="H14" i="16"/>
  <c r="G12" i="16"/>
  <c r="F12" i="16" s="1"/>
  <c r="K93" i="16"/>
  <c r="K96" i="16"/>
  <c r="I121" i="16"/>
  <c r="H147" i="16"/>
  <c r="I86" i="16"/>
  <c r="I89" i="16"/>
  <c r="K170" i="16"/>
  <c r="K160" i="16"/>
  <c r="K186" i="16"/>
  <c r="H108" i="16"/>
  <c r="H135" i="16"/>
  <c r="H145" i="16"/>
  <c r="H171" i="16"/>
  <c r="H198" i="16"/>
  <c r="I200" i="16"/>
  <c r="I65" i="16"/>
  <c r="K99" i="16"/>
  <c r="K102" i="16"/>
  <c r="K105" i="16"/>
  <c r="K118" i="16"/>
  <c r="H124" i="16"/>
  <c r="K158" i="16"/>
  <c r="K165" i="16"/>
  <c r="G165" i="16" s="1"/>
  <c r="F165" i="16" s="1"/>
  <c r="E165" i="16" s="1"/>
  <c r="D165" i="16" s="1"/>
  <c r="Q165" i="16" s="1"/>
  <c r="K108" i="16"/>
  <c r="I76" i="16"/>
  <c r="I90" i="16"/>
  <c r="K107" i="16"/>
  <c r="G108" i="16"/>
  <c r="F108" i="16" s="1"/>
  <c r="H123" i="16"/>
  <c r="K124" i="16"/>
  <c r="H137" i="16"/>
  <c r="G171" i="16"/>
  <c r="F171" i="16" s="1"/>
  <c r="E171" i="16" s="1"/>
  <c r="D171" i="16" s="1"/>
  <c r="Q171" i="16" s="1"/>
  <c r="F200" i="16"/>
  <c r="I93" i="16"/>
  <c r="K98" i="16"/>
  <c r="K101" i="16"/>
  <c r="K104" i="16"/>
  <c r="G104" i="16" s="1"/>
  <c r="F104" i="16" s="1"/>
  <c r="E104" i="16" s="1"/>
  <c r="D104" i="16" s="1"/>
  <c r="Q104" i="16" s="1"/>
  <c r="K110" i="16"/>
  <c r="K141" i="16"/>
  <c r="K157" i="16"/>
  <c r="K162" i="16"/>
  <c r="K103" i="16"/>
  <c r="K106" i="16"/>
  <c r="H52" i="16"/>
  <c r="G90" i="16"/>
  <c r="F90" i="16" s="1"/>
  <c r="E90" i="16" s="1"/>
  <c r="D90" i="16" s="1"/>
  <c r="Q90" i="16" s="1"/>
  <c r="G93" i="16"/>
  <c r="F93" i="16" s="1"/>
  <c r="E93" i="16" s="1"/>
  <c r="D93" i="16" s="1"/>
  <c r="Q93" i="16" s="1"/>
  <c r="K100" i="16"/>
  <c r="G100" i="16" s="1"/>
  <c r="F100" i="16" s="1"/>
  <c r="E100" i="16" s="1"/>
  <c r="D100" i="16" s="1"/>
  <c r="Q100" i="16" s="1"/>
  <c r="H118" i="16"/>
  <c r="K119" i="16"/>
  <c r="I129" i="16"/>
  <c r="I132" i="16"/>
  <c r="K156" i="16"/>
  <c r="K161" i="16"/>
  <c r="I53" i="16"/>
  <c r="I67" i="16"/>
  <c r="I71" i="16"/>
  <c r="I75" i="16"/>
  <c r="I79" i="16"/>
  <c r="G86" i="16"/>
  <c r="F86" i="16" s="1"/>
  <c r="E86" i="16" s="1"/>
  <c r="D86" i="16" s="1"/>
  <c r="Q86" i="16" s="1"/>
  <c r="I151" i="16"/>
  <c r="I157" i="16"/>
  <c r="I161" i="16"/>
  <c r="I165" i="16"/>
  <c r="I170" i="16"/>
  <c r="I175" i="16"/>
  <c r="I185" i="16"/>
  <c r="I189" i="16"/>
  <c r="H194" i="16"/>
  <c r="I196" i="16"/>
  <c r="I204" i="16"/>
  <c r="I207" i="16"/>
  <c r="I99" i="16"/>
  <c r="I103" i="16"/>
  <c r="I107" i="16"/>
  <c r="H127" i="16"/>
  <c r="G129" i="16"/>
  <c r="F129" i="16" s="1"/>
  <c r="G134" i="16"/>
  <c r="F134" i="16" s="1"/>
  <c r="G144" i="16"/>
  <c r="F144" i="16" s="1"/>
  <c r="E144" i="16" s="1"/>
  <c r="D144" i="16" s="1"/>
  <c r="Q144" i="16" s="1"/>
  <c r="I156" i="16"/>
  <c r="I160" i="16"/>
  <c r="I164" i="16"/>
  <c r="K166" i="16"/>
  <c r="G166" i="16" s="1"/>
  <c r="I174" i="16"/>
  <c r="I179" i="16"/>
  <c r="K180" i="16"/>
  <c r="I184" i="16"/>
  <c r="I188" i="16"/>
  <c r="I193" i="16"/>
  <c r="H204" i="16"/>
  <c r="G113" i="16"/>
  <c r="F113" i="16" s="1"/>
  <c r="H120" i="16"/>
  <c r="G122" i="16"/>
  <c r="F122" i="16" s="1"/>
  <c r="H126" i="16"/>
  <c r="H131" i="16"/>
  <c r="G138" i="16"/>
  <c r="F138" i="16" s="1"/>
  <c r="E138" i="16" s="1"/>
  <c r="D138" i="16" s="1"/>
  <c r="Q138" i="16" s="1"/>
  <c r="G148" i="16"/>
  <c r="F148" i="16" s="1"/>
  <c r="E148" i="16" s="1"/>
  <c r="D148" i="16" s="1"/>
  <c r="Q148" i="16" s="1"/>
  <c r="K194" i="16"/>
  <c r="F196" i="16"/>
  <c r="F204" i="16"/>
  <c r="E204" i="16" s="1"/>
  <c r="D204" i="16" s="1"/>
  <c r="Q204" i="16" s="1"/>
  <c r="H17" i="16"/>
  <c r="H130" i="16"/>
  <c r="G151" i="16"/>
  <c r="F151" i="16" s="1"/>
  <c r="E151" i="16" s="1"/>
  <c r="D151" i="16" s="1"/>
  <c r="Q151" i="16" s="1"/>
  <c r="G157" i="16"/>
  <c r="F157" i="16" s="1"/>
  <c r="E157" i="16" s="1"/>
  <c r="D157" i="16" s="1"/>
  <c r="Q157" i="16" s="1"/>
  <c r="G161" i="16"/>
  <c r="F161" i="16" s="1"/>
  <c r="E161" i="16" s="1"/>
  <c r="D161" i="16" s="1"/>
  <c r="Q161" i="16" s="1"/>
  <c r="K164" i="16"/>
  <c r="K179" i="16"/>
  <c r="K184" i="16"/>
  <c r="K188" i="16"/>
  <c r="K193" i="16"/>
  <c r="G194" i="16"/>
  <c r="F194" i="16" s="1"/>
  <c r="E194" i="16" s="1"/>
  <c r="D194" i="16" s="1"/>
  <c r="Q194" i="16" s="1"/>
  <c r="G15" i="16"/>
  <c r="F15" i="16" s="1"/>
  <c r="E15" i="16" s="1"/>
  <c r="D15" i="16" s="1"/>
  <c r="Q15" i="16" s="1"/>
  <c r="H68" i="16"/>
  <c r="H73" i="16"/>
  <c r="H77" i="16"/>
  <c r="H81" i="16"/>
  <c r="I114" i="16"/>
  <c r="H140" i="16"/>
  <c r="I144" i="16"/>
  <c r="H149" i="16"/>
  <c r="K159" i="16"/>
  <c r="G174" i="16"/>
  <c r="F174" i="16" s="1"/>
  <c r="K183" i="16"/>
  <c r="K187" i="16"/>
  <c r="K192" i="16"/>
  <c r="I49" i="16"/>
  <c r="H59" i="16"/>
  <c r="I85" i="16"/>
  <c r="H101" i="16"/>
  <c r="H105" i="16"/>
  <c r="H109" i="16"/>
  <c r="I117" i="16"/>
  <c r="I122" i="16"/>
  <c r="I133" i="16"/>
  <c r="I138" i="16"/>
  <c r="I143" i="16"/>
  <c r="I148" i="16"/>
  <c r="H154" i="16"/>
  <c r="H172" i="16"/>
  <c r="G178" i="16"/>
  <c r="F178" i="16" s="1"/>
  <c r="E178" i="16" s="1"/>
  <c r="D178" i="16" s="1"/>
  <c r="Q178" i="16" s="1"/>
  <c r="H182" i="16"/>
  <c r="I202" i="16"/>
  <c r="I208" i="16"/>
  <c r="I113" i="16"/>
  <c r="G119" i="16"/>
  <c r="F119" i="16" s="1"/>
  <c r="E119" i="16" s="1"/>
  <c r="D119" i="16" s="1"/>
  <c r="Q119" i="16" s="1"/>
  <c r="I128" i="16"/>
  <c r="H166" i="16"/>
  <c r="H176" i="16"/>
  <c r="H190" i="16"/>
  <c r="Q81" i="14"/>
  <c r="F63" i="11"/>
  <c r="E63" i="11" s="1"/>
  <c r="D63" i="11" s="1"/>
  <c r="Q63" i="11" s="1"/>
  <c r="Q73" i="11"/>
  <c r="F29" i="14"/>
  <c r="E29" i="14" s="1"/>
  <c r="D29" i="14" s="1"/>
  <c r="Q29" i="14" s="1"/>
  <c r="F83" i="14"/>
  <c r="E83" i="14" s="1"/>
  <c r="D83" i="14" s="1"/>
  <c r="Q109" i="11"/>
  <c r="Q125" i="14"/>
  <c r="G38" i="14"/>
  <c r="F38" i="14" s="1"/>
  <c r="E38" i="14" s="1"/>
  <c r="D38" i="14" s="1"/>
  <c r="Q38" i="14" s="1"/>
  <c r="G74" i="11"/>
  <c r="F74" i="11" s="1"/>
  <c r="E74" i="11" s="1"/>
  <c r="D74" i="11" s="1"/>
  <c r="Q74" i="11" s="1"/>
  <c r="G14" i="11"/>
  <c r="F14" i="11" s="1"/>
  <c r="E14" i="11" s="1"/>
  <c r="D14" i="11" s="1"/>
  <c r="Q14" i="11" s="1"/>
  <c r="Q21" i="10"/>
  <c r="H16" i="14"/>
  <c r="F16" i="14" s="1"/>
  <c r="E16" i="14" s="1"/>
  <c r="D16" i="14" s="1"/>
  <c r="Q16" i="14" s="1"/>
  <c r="G53" i="11"/>
  <c r="F53" i="11" s="1"/>
  <c r="E53" i="11" s="1"/>
  <c r="D53" i="11" s="1"/>
  <c r="Q53" i="11" s="1"/>
  <c r="E85" i="14"/>
  <c r="D85" i="14" s="1"/>
  <c r="Q85" i="14" s="1"/>
  <c r="Q103" i="14"/>
  <c r="G55" i="14"/>
  <c r="F55" i="14" s="1"/>
  <c r="E55" i="14" s="1"/>
  <c r="D55" i="14" s="1"/>
  <c r="Q55" i="14"/>
  <c r="G106" i="14"/>
  <c r="F106" i="14" s="1"/>
  <c r="E106" i="14" s="1"/>
  <c r="D106" i="14" s="1"/>
  <c r="Q106" i="14"/>
  <c r="Q37" i="14"/>
  <c r="Q128" i="11"/>
  <c r="Q102" i="11"/>
  <c r="G108" i="11"/>
  <c r="F108" i="11" s="1"/>
  <c r="E108" i="11" s="1"/>
  <c r="D108" i="11" s="1"/>
  <c r="Q108" i="11"/>
  <c r="G65" i="10"/>
  <c r="F65" i="10" s="1"/>
  <c r="E65" i="10" s="1"/>
  <c r="D65" i="10" s="1"/>
  <c r="Q65" i="10"/>
  <c r="Q102" i="10"/>
  <c r="F52" i="10"/>
  <c r="E52" i="10" s="1"/>
  <c r="D52" i="10" s="1"/>
  <c r="Q52" i="10" s="1"/>
  <c r="G22" i="10"/>
  <c r="F22" i="10" s="1"/>
  <c r="E22" i="10" s="1"/>
  <c r="D22" i="10" s="1"/>
  <c r="Q22" i="10"/>
  <c r="F98" i="11"/>
  <c r="E98" i="11" s="1"/>
  <c r="D98" i="11" s="1"/>
  <c r="Q98" i="11" s="1"/>
  <c r="G100" i="11"/>
  <c r="F100" i="11" s="1"/>
  <c r="E100" i="11" s="1"/>
  <c r="D100" i="11" s="1"/>
  <c r="Q100" i="11" s="1"/>
  <c r="Q111" i="11"/>
  <c r="H9" i="14"/>
  <c r="F9" i="14" s="1"/>
  <c r="E9" i="14" s="1"/>
  <c r="D9" i="14" s="1"/>
  <c r="Q9" i="14" s="1"/>
  <c r="I70" i="14"/>
  <c r="I87" i="16"/>
  <c r="H87" i="16"/>
  <c r="H92" i="16"/>
  <c r="I92" i="16"/>
  <c r="I162" i="16"/>
  <c r="H162" i="16"/>
  <c r="I186" i="16"/>
  <c r="H186" i="16"/>
  <c r="K207" i="16"/>
  <c r="G207" i="16" s="1"/>
  <c r="F207" i="16" s="1"/>
  <c r="E207" i="16" s="1"/>
  <c r="D207" i="16" s="1"/>
  <c r="Q207" i="16" s="1"/>
  <c r="G208" i="16"/>
  <c r="F208" i="16" s="1"/>
  <c r="Q86" i="10"/>
  <c r="Q96" i="10"/>
  <c r="Q79" i="14"/>
  <c r="Q44" i="10"/>
  <c r="Q49" i="10"/>
  <c r="E149" i="7"/>
  <c r="D149" i="7" s="1"/>
  <c r="Q149" i="7" s="1"/>
  <c r="F133" i="7"/>
  <c r="E133" i="7" s="1"/>
  <c r="D133" i="7" s="1"/>
  <c r="Q133" i="7" s="1"/>
  <c r="F81" i="7"/>
  <c r="E81" i="7" s="1"/>
  <c r="D81" i="7" s="1"/>
  <c r="Q81" i="7" s="1"/>
  <c r="Q70" i="10"/>
  <c r="Q114" i="14"/>
  <c r="E93" i="10"/>
  <c r="D93" i="10" s="1"/>
  <c r="Q93" i="10" s="1"/>
  <c r="Q41" i="14"/>
  <c r="F55" i="10"/>
  <c r="E55" i="10" s="1"/>
  <c r="D55" i="10" s="1"/>
  <c r="Q55" i="10" s="1"/>
  <c r="I9" i="14"/>
  <c r="G53" i="14"/>
  <c r="F53" i="14" s="1"/>
  <c r="Q46" i="14"/>
  <c r="G58" i="14"/>
  <c r="F58" i="14" s="1"/>
  <c r="E58" i="14" s="1"/>
  <c r="D58" i="14" s="1"/>
  <c r="Q58" i="14"/>
  <c r="G73" i="14"/>
  <c r="F73" i="14" s="1"/>
  <c r="E73" i="14" s="1"/>
  <c r="D73" i="14" s="1"/>
  <c r="Q73" i="14" s="1"/>
  <c r="G82" i="14"/>
  <c r="F82" i="14" s="1"/>
  <c r="E82" i="14" s="1"/>
  <c r="D82" i="14" s="1"/>
  <c r="Q82" i="14" s="1"/>
  <c r="Q126" i="14"/>
  <c r="G95" i="14"/>
  <c r="F95" i="14" s="1"/>
  <c r="E95" i="14" s="1"/>
  <c r="D95" i="14" s="1"/>
  <c r="Q95" i="14" s="1"/>
  <c r="G101" i="14"/>
  <c r="F101" i="14" s="1"/>
  <c r="E101" i="14" s="1"/>
  <c r="D101" i="14" s="1"/>
  <c r="Q101" i="14"/>
  <c r="H70" i="14"/>
  <c r="G19" i="14"/>
  <c r="F19" i="14" s="1"/>
  <c r="E19" i="14" s="1"/>
  <c r="D19" i="14" s="1"/>
  <c r="Q19" i="14"/>
  <c r="Q27" i="11"/>
  <c r="F36" i="10"/>
  <c r="E36" i="10" s="1"/>
  <c r="D36" i="10" s="1"/>
  <c r="Q36" i="10" s="1"/>
  <c r="G86" i="11"/>
  <c r="F86" i="11" s="1"/>
  <c r="E86" i="11" s="1"/>
  <c r="D86" i="11" s="1"/>
  <c r="Q86" i="11"/>
  <c r="F37" i="11"/>
  <c r="E24" i="11"/>
  <c r="D24" i="11" s="1"/>
  <c r="Q24" i="11" s="1"/>
  <c r="Q44" i="11"/>
  <c r="G81" i="11"/>
  <c r="F81" i="11" s="1"/>
  <c r="E81" i="11" s="1"/>
  <c r="D81" i="11" s="1"/>
  <c r="Q81" i="11"/>
  <c r="G92" i="11"/>
  <c r="F92" i="11" s="1"/>
  <c r="E92" i="11" s="1"/>
  <c r="D92" i="11" s="1"/>
  <c r="Q92" i="11"/>
  <c r="G80" i="11"/>
  <c r="F80" i="11" s="1"/>
  <c r="E80" i="11" s="1"/>
  <c r="D80" i="11" s="1"/>
  <c r="Q80" i="11"/>
  <c r="G89" i="11"/>
  <c r="F89" i="11" s="1"/>
  <c r="E89" i="11" s="1"/>
  <c r="D89" i="11" s="1"/>
  <c r="Q89" i="11"/>
  <c r="Q122" i="11"/>
  <c r="G47" i="10"/>
  <c r="F47" i="10" s="1"/>
  <c r="E47" i="10" s="1"/>
  <c r="D47" i="10" s="1"/>
  <c r="Q47" i="10" s="1"/>
  <c r="F64" i="10"/>
  <c r="E64" i="10" s="1"/>
  <c r="D64" i="10" s="1"/>
  <c r="Q64" i="10" s="1"/>
  <c r="F17" i="10"/>
  <c r="E17" i="10" s="1"/>
  <c r="D17" i="10" s="1"/>
  <c r="Q17" i="10" s="1"/>
  <c r="E50" i="7"/>
  <c r="D50" i="7" s="1"/>
  <c r="Q50" i="7" s="1"/>
  <c r="H7" i="7"/>
  <c r="G22" i="7"/>
  <c r="F22" i="7" s="1"/>
  <c r="E22" i="7" s="1"/>
  <c r="D22" i="7" s="1"/>
  <c r="Q22" i="7" s="1"/>
  <c r="H31" i="7"/>
  <c r="F31" i="7" s="1"/>
  <c r="E31" i="7" s="1"/>
  <c r="D31" i="7" s="1"/>
  <c r="Q31" i="7" s="1"/>
  <c r="I31" i="7"/>
  <c r="H37" i="11"/>
  <c r="I37" i="11"/>
  <c r="E37" i="11"/>
  <c r="D37" i="11" s="1"/>
  <c r="Q37" i="11" s="1"/>
  <c r="Q39" i="11"/>
  <c r="Q40" i="11"/>
  <c r="G42" i="11"/>
  <c r="F42" i="11" s="1"/>
  <c r="E42" i="11" s="1"/>
  <c r="D42" i="11" s="1"/>
  <c r="Q42" i="11"/>
  <c r="E49" i="11"/>
  <c r="D49" i="11" s="1"/>
  <c r="Q49" i="11" s="1"/>
  <c r="Q60" i="11"/>
  <c r="Q61" i="11"/>
  <c r="G129" i="10"/>
  <c r="F129" i="10" s="1"/>
  <c r="G60" i="14"/>
  <c r="F60" i="14" s="1"/>
  <c r="E60" i="14" s="1"/>
  <c r="D60" i="14" s="1"/>
  <c r="Q60" i="14"/>
  <c r="G107" i="14"/>
  <c r="F107" i="14" s="1"/>
  <c r="E107" i="14" s="1"/>
  <c r="D107" i="14" s="1"/>
  <c r="Q107" i="14" s="1"/>
  <c r="F99" i="14"/>
  <c r="E99" i="14" s="1"/>
  <c r="D99" i="14" s="1"/>
  <c r="G10" i="14"/>
  <c r="F10" i="14" s="1"/>
  <c r="E10" i="14" s="1"/>
  <c r="D10" i="14" s="1"/>
  <c r="Q10" i="14"/>
  <c r="G33" i="11"/>
  <c r="F33" i="11" s="1"/>
  <c r="E33" i="11" s="1"/>
  <c r="D33" i="11" s="1"/>
  <c r="Q33" i="11"/>
  <c r="H113" i="11"/>
  <c r="F113" i="11" s="1"/>
  <c r="E113" i="11" s="1"/>
  <c r="D113" i="11" s="1"/>
  <c r="Q113" i="11" s="1"/>
  <c r="G66" i="10"/>
  <c r="F66" i="10" s="1"/>
  <c r="E66" i="10" s="1"/>
  <c r="D66" i="10" s="1"/>
  <c r="Q66" i="10"/>
  <c r="Q127" i="14"/>
  <c r="E94" i="7"/>
  <c r="D94" i="7" s="1"/>
  <c r="Q94" i="7" s="1"/>
  <c r="Q83" i="14"/>
  <c r="G17" i="14"/>
  <c r="F17" i="14" s="1"/>
  <c r="E17" i="14" s="1"/>
  <c r="D17" i="14" s="1"/>
  <c r="Q17" i="14" s="1"/>
  <c r="F69" i="14"/>
  <c r="E69" i="14" s="1"/>
  <c r="D69" i="14" s="1"/>
  <c r="Q69" i="14" s="1"/>
  <c r="G116" i="14"/>
  <c r="F116" i="14" s="1"/>
  <c r="E116" i="14" s="1"/>
  <c r="D116" i="14" s="1"/>
  <c r="Q116" i="14"/>
  <c r="G45" i="14"/>
  <c r="F45" i="14" s="1"/>
  <c r="E45" i="14" s="1"/>
  <c r="D45" i="14" s="1"/>
  <c r="Q45" i="14"/>
  <c r="Q77" i="11"/>
  <c r="Q25" i="11"/>
  <c r="G91" i="11"/>
  <c r="F91" i="11" s="1"/>
  <c r="E91" i="11" s="1"/>
  <c r="D91" i="11" s="1"/>
  <c r="Q91" i="11"/>
  <c r="G103" i="11"/>
  <c r="F103" i="11" s="1"/>
  <c r="E103" i="11" s="1"/>
  <c r="D103" i="11" s="1"/>
  <c r="Q103" i="11"/>
  <c r="G130" i="11"/>
  <c r="F130" i="11" s="1"/>
  <c r="E130" i="11" s="1"/>
  <c r="D130" i="11" s="1"/>
  <c r="Q130" i="11"/>
  <c r="F28" i="11"/>
  <c r="G51" i="10"/>
  <c r="F51" i="10" s="1"/>
  <c r="E51" i="10" s="1"/>
  <c r="D51" i="10" s="1"/>
  <c r="Q51" i="10" s="1"/>
  <c r="F15" i="10"/>
  <c r="E15" i="10" s="1"/>
  <c r="D15" i="10" s="1"/>
  <c r="Q15" i="10" s="1"/>
  <c r="E75" i="7"/>
  <c r="D75" i="7" s="1"/>
  <c r="Q75" i="7" s="1"/>
  <c r="I93" i="11"/>
  <c r="H93" i="11"/>
  <c r="F93" i="11" s="1"/>
  <c r="E93" i="11" s="1"/>
  <c r="D93" i="11" s="1"/>
  <c r="Q93" i="11" s="1"/>
  <c r="I8" i="14"/>
  <c r="H8" i="14"/>
  <c r="F8" i="14" s="1"/>
  <c r="E8" i="14" s="1"/>
  <c r="D8" i="14" s="1"/>
  <c r="Q8" i="14" s="1"/>
  <c r="I57" i="14"/>
  <c r="E57" i="14" s="1"/>
  <c r="D57" i="14" s="1"/>
  <c r="Q57" i="14" s="1"/>
  <c r="H10" i="16"/>
  <c r="I10" i="16"/>
  <c r="F24" i="7"/>
  <c r="E24" i="7" s="1"/>
  <c r="D24" i="7" s="1"/>
  <c r="Q24" i="7" s="1"/>
  <c r="Q68" i="10"/>
  <c r="E57" i="7"/>
  <c r="D57" i="7" s="1"/>
  <c r="Q57" i="7" s="1"/>
  <c r="I16" i="14"/>
  <c r="E110" i="7"/>
  <c r="D110" i="7" s="1"/>
  <c r="Q110" i="7" s="1"/>
  <c r="E107" i="7"/>
  <c r="D107" i="7" s="1"/>
  <c r="Q107" i="7" s="1"/>
  <c r="F143" i="7"/>
  <c r="E143" i="7" s="1"/>
  <c r="D143" i="7" s="1"/>
  <c r="Q143" i="7" s="1"/>
  <c r="E15" i="14"/>
  <c r="D15" i="14" s="1"/>
  <c r="Q15" i="14" s="1"/>
  <c r="G88" i="14"/>
  <c r="F88" i="14" s="1"/>
  <c r="E88" i="14" s="1"/>
  <c r="D88" i="14" s="1"/>
  <c r="Q88" i="14" s="1"/>
  <c r="G72" i="14"/>
  <c r="F72" i="14" s="1"/>
  <c r="E72" i="14" s="1"/>
  <c r="D72" i="14" s="1"/>
  <c r="Q72" i="14" s="1"/>
  <c r="Q113" i="14"/>
  <c r="Q107" i="11"/>
  <c r="Q45" i="11"/>
  <c r="I112" i="11"/>
  <c r="E112" i="11" s="1"/>
  <c r="D112" i="11" s="1"/>
  <c r="Q112" i="11" s="1"/>
  <c r="F75" i="11"/>
  <c r="E75" i="11" s="1"/>
  <c r="D75" i="11" s="1"/>
  <c r="Q75" i="11" s="1"/>
  <c r="G83" i="11"/>
  <c r="F83" i="11" s="1"/>
  <c r="E83" i="11" s="1"/>
  <c r="D83" i="11" s="1"/>
  <c r="Q83" i="11"/>
  <c r="G96" i="11"/>
  <c r="F96" i="11" s="1"/>
  <c r="E96" i="11" s="1"/>
  <c r="D96" i="11" s="1"/>
  <c r="Q96" i="11" s="1"/>
  <c r="G82" i="11"/>
  <c r="F82" i="11" s="1"/>
  <c r="E82" i="11" s="1"/>
  <c r="D82" i="11" s="1"/>
  <c r="Q82" i="11" s="1"/>
  <c r="G94" i="11"/>
  <c r="F94" i="11" s="1"/>
  <c r="E94" i="11" s="1"/>
  <c r="D94" i="11" s="1"/>
  <c r="Q94" i="11" s="1"/>
  <c r="I113" i="11"/>
  <c r="G56" i="11"/>
  <c r="Q114" i="10"/>
  <c r="Q56" i="10"/>
  <c r="F10" i="7"/>
  <c r="E10" i="7" s="1"/>
  <c r="D10" i="7" s="1"/>
  <c r="Q10" i="7" s="1"/>
  <c r="F13" i="7"/>
  <c r="E13" i="7" s="1"/>
  <c r="D13" i="7" s="1"/>
  <c r="Q13" i="7" s="1"/>
  <c r="H171" i="7"/>
  <c r="I171" i="7"/>
  <c r="H172" i="7"/>
  <c r="F172" i="7" s="1"/>
  <c r="E172" i="7" s="1"/>
  <c r="D172" i="7" s="1"/>
  <c r="Q172" i="7" s="1"/>
  <c r="I172" i="7"/>
  <c r="Q11" i="10"/>
  <c r="G13" i="10"/>
  <c r="F13" i="10" s="1"/>
  <c r="E13" i="10" s="1"/>
  <c r="D13" i="10" s="1"/>
  <c r="Q13" i="10"/>
  <c r="I26" i="10"/>
  <c r="H26" i="10"/>
  <c r="F26" i="10" s="1"/>
  <c r="E26" i="10" s="1"/>
  <c r="D26" i="10" s="1"/>
  <c r="Q26" i="10" s="1"/>
  <c r="Q27" i="10"/>
  <c r="E37" i="10"/>
  <c r="D37" i="10" s="1"/>
  <c r="Q37" i="10" s="1"/>
  <c r="H39" i="10"/>
  <c r="F39" i="10" s="1"/>
  <c r="E39" i="10"/>
  <c r="D39" i="10" s="1"/>
  <c r="Q39" i="10" s="1"/>
  <c r="I40" i="10"/>
  <c r="H40" i="10"/>
  <c r="F40" i="10" s="1"/>
  <c r="E40" i="10" s="1"/>
  <c r="D40" i="10" s="1"/>
  <c r="Q40" i="10" s="1"/>
  <c r="F42" i="10"/>
  <c r="E42" i="10" s="1"/>
  <c r="D42" i="10" s="1"/>
  <c r="Q42" i="10" s="1"/>
  <c r="Q43" i="10"/>
  <c r="G50" i="10"/>
  <c r="F50" i="10" s="1"/>
  <c r="E50" i="10" s="1"/>
  <c r="D50" i="10" s="1"/>
  <c r="Q50" i="10"/>
  <c r="I55" i="10"/>
  <c r="I57" i="10"/>
  <c r="H57" i="10"/>
  <c r="F57" i="10" s="1"/>
  <c r="E57" i="10" s="1"/>
  <c r="D57" i="10" s="1"/>
  <c r="Q57" i="10" s="1"/>
  <c r="F58" i="10"/>
  <c r="E58" i="10" s="1"/>
  <c r="D58" i="10" s="1"/>
  <c r="Q58" i="10" s="1"/>
  <c r="H73" i="10"/>
  <c r="F73" i="10" s="1"/>
  <c r="E73" i="10" s="1"/>
  <c r="D73" i="10" s="1"/>
  <c r="Q73" i="10" s="1"/>
  <c r="I73" i="10"/>
  <c r="I103" i="10"/>
  <c r="H103" i="10"/>
  <c r="Q105" i="10"/>
  <c r="Q121" i="10"/>
  <c r="I129" i="10"/>
  <c r="H129" i="10"/>
  <c r="G9" i="11"/>
  <c r="F9" i="11" s="1"/>
  <c r="E9" i="11" s="1"/>
  <c r="D9" i="11" s="1"/>
  <c r="Q9" i="11"/>
  <c r="H16" i="11"/>
  <c r="F16" i="11" s="1"/>
  <c r="E16" i="11" s="1"/>
  <c r="D16" i="11" s="1"/>
  <c r="Q16" i="11" s="1"/>
  <c r="I16" i="11"/>
  <c r="G21" i="11"/>
  <c r="F21" i="11" s="1"/>
  <c r="E21" i="11" s="1"/>
  <c r="D21" i="11" s="1"/>
  <c r="Q21" i="11"/>
  <c r="G23" i="11"/>
  <c r="F23" i="11" s="1"/>
  <c r="E23" i="11" s="1"/>
  <c r="D23" i="11" s="1"/>
  <c r="Q23" i="11" s="1"/>
  <c r="H28" i="11"/>
  <c r="I28" i="11"/>
  <c r="Q35" i="11"/>
  <c r="G36" i="11"/>
  <c r="F36" i="11" s="1"/>
  <c r="E36" i="11" s="1"/>
  <c r="D36" i="11" s="1"/>
  <c r="Q36" i="11"/>
  <c r="F110" i="14"/>
  <c r="E110" i="14" s="1"/>
  <c r="D110" i="14" s="1"/>
  <c r="Q110" i="14" s="1"/>
  <c r="F17" i="11"/>
  <c r="E17" i="11" s="1"/>
  <c r="D17" i="11" s="1"/>
  <c r="Q17" i="11" s="1"/>
  <c r="G109" i="11"/>
  <c r="F109" i="11" s="1"/>
  <c r="E109" i="11" s="1"/>
  <c r="D109" i="11" s="1"/>
  <c r="G123" i="11"/>
  <c r="F123" i="11" s="1"/>
  <c r="E123" i="11" s="1"/>
  <c r="D123" i="11" s="1"/>
  <c r="Q123" i="11"/>
  <c r="G65" i="11"/>
  <c r="F65" i="11" s="1"/>
  <c r="E65" i="11" s="1"/>
  <c r="D65" i="11" s="1"/>
  <c r="Q65" i="11" s="1"/>
  <c r="Q41" i="10"/>
  <c r="G35" i="10"/>
  <c r="F35" i="10" s="1"/>
  <c r="E35" i="10" s="1"/>
  <c r="D35" i="10" s="1"/>
  <c r="Q35" i="10"/>
  <c r="E43" i="7"/>
  <c r="D43" i="7" s="1"/>
  <c r="Q43" i="7" s="1"/>
  <c r="K59" i="7"/>
  <c r="G59" i="7" s="1"/>
  <c r="F59" i="7" s="1"/>
  <c r="E59" i="7" s="1"/>
  <c r="D59" i="7" s="1"/>
  <c r="Q59" i="7" s="1"/>
  <c r="K51" i="7"/>
  <c r="G51" i="7" s="1"/>
  <c r="F51" i="7" s="1"/>
  <c r="E51" i="7" s="1"/>
  <c r="D51" i="7" s="1"/>
  <c r="Q51" i="7" s="1"/>
  <c r="K53" i="7"/>
  <c r="G53" i="7" s="1"/>
  <c r="F53" i="7" s="1"/>
  <c r="E53" i="7" s="1"/>
  <c r="D53" i="7" s="1"/>
  <c r="Q53" i="7" s="1"/>
  <c r="K56" i="7"/>
  <c r="G56" i="7" s="1"/>
  <c r="F56" i="7" s="1"/>
  <c r="E56" i="7" s="1"/>
  <c r="D56" i="7" s="1"/>
  <c r="Q56" i="7" s="1"/>
  <c r="K55" i="7"/>
  <c r="K52" i="7"/>
  <c r="G65" i="7"/>
  <c r="F65" i="7" s="1"/>
  <c r="E65" i="7" s="1"/>
  <c r="D65" i="7" s="1"/>
  <c r="Q65" i="7" s="1"/>
  <c r="G67" i="7"/>
  <c r="F67" i="7" s="1"/>
  <c r="E67" i="7" s="1"/>
  <c r="D67" i="7" s="1"/>
  <c r="Q67" i="7" s="1"/>
  <c r="I103" i="7"/>
  <c r="H103" i="7"/>
  <c r="F103" i="7" s="1"/>
  <c r="E103" i="7" s="1"/>
  <c r="D103" i="7" s="1"/>
  <c r="Q103" i="7" s="1"/>
  <c r="H159" i="7"/>
  <c r="I159" i="7"/>
  <c r="F187" i="7"/>
  <c r="E187" i="7" s="1"/>
  <c r="D187" i="7" s="1"/>
  <c r="Q187" i="7" s="1"/>
  <c r="I23" i="10"/>
  <c r="H23" i="10"/>
  <c r="G25" i="10"/>
  <c r="F25" i="10" s="1"/>
  <c r="E25" i="10" s="1"/>
  <c r="D25" i="10" s="1"/>
  <c r="Q25" i="10"/>
  <c r="Q32" i="10"/>
  <c r="Q33" i="10"/>
  <c r="H87" i="10"/>
  <c r="F87" i="10" s="1"/>
  <c r="I87" i="10"/>
  <c r="G95" i="10"/>
  <c r="F95" i="10" s="1"/>
  <c r="E95" i="10" s="1"/>
  <c r="D95" i="10" s="1"/>
  <c r="Q95" i="10" s="1"/>
  <c r="H99" i="10"/>
  <c r="I99" i="10"/>
  <c r="H129" i="11"/>
  <c r="F129" i="11" s="1"/>
  <c r="E129" i="11" s="1"/>
  <c r="D129" i="11" s="1"/>
  <c r="Q129" i="11" s="1"/>
  <c r="I129" i="11"/>
  <c r="I66" i="14"/>
  <c r="H66" i="14"/>
  <c r="I121" i="14"/>
  <c r="H121" i="14"/>
  <c r="F121" i="14" s="1"/>
  <c r="E121" i="14" s="1"/>
  <c r="D121" i="14" s="1"/>
  <c r="Q121" i="14" s="1"/>
  <c r="E145" i="7"/>
  <c r="D145" i="7" s="1"/>
  <c r="Q145" i="7" s="1"/>
  <c r="F63" i="7"/>
  <c r="E63" i="7" s="1"/>
  <c r="D63" i="7" s="1"/>
  <c r="Q63" i="7" s="1"/>
  <c r="E74" i="7"/>
  <c r="D74" i="7" s="1"/>
  <c r="Q74" i="7" s="1"/>
  <c r="E38" i="7"/>
  <c r="D38" i="7" s="1"/>
  <c r="Q38" i="7" s="1"/>
  <c r="Q99" i="14"/>
  <c r="Q109" i="14"/>
  <c r="Q98" i="14"/>
  <c r="G72" i="11"/>
  <c r="G54" i="11"/>
  <c r="F54" i="11" s="1"/>
  <c r="E54" i="11" s="1"/>
  <c r="D54" i="11" s="1"/>
  <c r="Q54" i="11"/>
  <c r="G60" i="11"/>
  <c r="F60" i="11" s="1"/>
  <c r="E60" i="11" s="1"/>
  <c r="D60" i="11" s="1"/>
  <c r="G119" i="10"/>
  <c r="F119" i="10" s="1"/>
  <c r="E119" i="10" s="1"/>
  <c r="D119" i="10" s="1"/>
  <c r="Q119" i="10"/>
  <c r="G103" i="10"/>
  <c r="F103" i="10" s="1"/>
  <c r="E103" i="10" s="1"/>
  <c r="D103" i="10" s="1"/>
  <c r="Q103" i="10" s="1"/>
  <c r="G59" i="10"/>
  <c r="F59" i="10" s="1"/>
  <c r="E59" i="10" s="1"/>
  <c r="D59" i="10" s="1"/>
  <c r="Q59" i="10" s="1"/>
  <c r="F152" i="7"/>
  <c r="E152" i="7" s="1"/>
  <c r="D152" i="7" s="1"/>
  <c r="Q152" i="7" s="1"/>
  <c r="H23" i="7"/>
  <c r="I23" i="7"/>
  <c r="G47" i="7"/>
  <c r="F47" i="7" s="1"/>
  <c r="E47" i="7" s="1"/>
  <c r="D47" i="7" s="1"/>
  <c r="Q47" i="7" s="1"/>
  <c r="I54" i="7"/>
  <c r="H54" i="7"/>
  <c r="F54" i="7" s="1"/>
  <c r="E54" i="7" s="1"/>
  <c r="D54" i="7" s="1"/>
  <c r="Q54" i="7" s="1"/>
  <c r="H81" i="7"/>
  <c r="I81" i="7"/>
  <c r="H88" i="7"/>
  <c r="F88" i="7" s="1"/>
  <c r="E88" i="7" s="1"/>
  <c r="D88" i="7" s="1"/>
  <c r="Q88" i="7" s="1"/>
  <c r="I88" i="7"/>
  <c r="I129" i="7"/>
  <c r="H129" i="7"/>
  <c r="E130" i="7"/>
  <c r="D130" i="7" s="1"/>
  <c r="Q130" i="7" s="1"/>
  <c r="H56" i="11"/>
  <c r="I56" i="11"/>
  <c r="H24" i="14"/>
  <c r="F24" i="14" s="1"/>
  <c r="I24" i="14"/>
  <c r="F116" i="7"/>
  <c r="E116" i="7" s="1"/>
  <c r="D116" i="7" s="1"/>
  <c r="Q116" i="7" s="1"/>
  <c r="F41" i="7"/>
  <c r="E41" i="7" s="1"/>
  <c r="D41" i="7" s="1"/>
  <c r="Q41" i="7" s="1"/>
  <c r="F45" i="7"/>
  <c r="E45" i="7" s="1"/>
  <c r="D45" i="7" s="1"/>
  <c r="Q45" i="7" s="1"/>
  <c r="E30" i="7"/>
  <c r="D30" i="7" s="1"/>
  <c r="Q30" i="7" s="1"/>
  <c r="I40" i="7"/>
  <c r="H40" i="7"/>
  <c r="G72" i="7"/>
  <c r="F72" i="7" s="1"/>
  <c r="E72" i="7" s="1"/>
  <c r="D72" i="7" s="1"/>
  <c r="Q72" i="7" s="1"/>
  <c r="E106" i="7"/>
  <c r="D106" i="7" s="1"/>
  <c r="Q106" i="7" s="1"/>
  <c r="F109" i="7"/>
  <c r="E109" i="7" s="1"/>
  <c r="D109" i="7" s="1"/>
  <c r="Q109" i="7" s="1"/>
  <c r="F112" i="7"/>
  <c r="E112" i="7" s="1"/>
  <c r="D112" i="7" s="1"/>
  <c r="Q112" i="7" s="1"/>
  <c r="E122" i="7"/>
  <c r="D122" i="7" s="1"/>
  <c r="Q122" i="7" s="1"/>
  <c r="F125" i="7"/>
  <c r="E125" i="7" s="1"/>
  <c r="D125" i="7" s="1"/>
  <c r="Q125" i="7" s="1"/>
  <c r="F128" i="7"/>
  <c r="E128" i="7" s="1"/>
  <c r="D128" i="7" s="1"/>
  <c r="Q128" i="7" s="1"/>
  <c r="F144" i="7"/>
  <c r="E144" i="7" s="1"/>
  <c r="D144" i="7" s="1"/>
  <c r="Q144" i="7" s="1"/>
  <c r="E154" i="7"/>
  <c r="D154" i="7" s="1"/>
  <c r="Q154" i="7" s="1"/>
  <c r="I125" i="10"/>
  <c r="H125" i="10"/>
  <c r="F125" i="10" s="1"/>
  <c r="H51" i="11"/>
  <c r="F51" i="11" s="1"/>
  <c r="E51" i="11" s="1"/>
  <c r="D51" i="11" s="1"/>
  <c r="Q51" i="11" s="1"/>
  <c r="H88" i="11"/>
  <c r="F88" i="11" s="1"/>
  <c r="E88" i="11" s="1"/>
  <c r="D88" i="11" s="1"/>
  <c r="Q88" i="11" s="1"/>
  <c r="I88" i="11"/>
  <c r="I29" i="14"/>
  <c r="H29" i="14"/>
  <c r="H38" i="14"/>
  <c r="H78" i="14"/>
  <c r="F78" i="14" s="1"/>
  <c r="E78" i="14" s="1"/>
  <c r="D78" i="14" s="1"/>
  <c r="Q78" i="14" s="1"/>
  <c r="I78" i="14"/>
  <c r="H199" i="16"/>
  <c r="F199" i="16" s="1"/>
  <c r="I199" i="16"/>
  <c r="F181" i="7"/>
  <c r="E181" i="7" s="1"/>
  <c r="D181" i="7" s="1"/>
  <c r="Q181" i="7" s="1"/>
  <c r="K15" i="7"/>
  <c r="G15" i="7" s="1"/>
  <c r="F15" i="7" s="1"/>
  <c r="E15" i="7" s="1"/>
  <c r="D15" i="7" s="1"/>
  <c r="Q15" i="7" s="1"/>
  <c r="K11" i="7"/>
  <c r="G11" i="7" s="1"/>
  <c r="F11" i="7" s="1"/>
  <c r="E11" i="7" s="1"/>
  <c r="D11" i="7" s="1"/>
  <c r="Q11" i="7" s="1"/>
  <c r="K8" i="7"/>
  <c r="G27" i="7"/>
  <c r="F27" i="7" s="1"/>
  <c r="E27" i="7" s="1"/>
  <c r="D27" i="7" s="1"/>
  <c r="Q27" i="7" s="1"/>
  <c r="G39" i="7"/>
  <c r="F39" i="7" s="1"/>
  <c r="E39" i="7" s="1"/>
  <c r="D39" i="7" s="1"/>
  <c r="Q39" i="7" s="1"/>
  <c r="G105" i="7"/>
  <c r="F105" i="7" s="1"/>
  <c r="E105" i="7" s="1"/>
  <c r="D105" i="7" s="1"/>
  <c r="Q105" i="7" s="1"/>
  <c r="G113" i="7"/>
  <c r="F113" i="7" s="1"/>
  <c r="E113" i="7" s="1"/>
  <c r="D113" i="7" s="1"/>
  <c r="Q113" i="7" s="1"/>
  <c r="G115" i="7"/>
  <c r="F115" i="7" s="1"/>
  <c r="E115" i="7" s="1"/>
  <c r="D115" i="7" s="1"/>
  <c r="Q115" i="7" s="1"/>
  <c r="G119" i="7"/>
  <c r="F119" i="7" s="1"/>
  <c r="E119" i="7" s="1"/>
  <c r="D119" i="7" s="1"/>
  <c r="Q119" i="7" s="1"/>
  <c r="G121" i="7"/>
  <c r="F121" i="7" s="1"/>
  <c r="E121" i="7" s="1"/>
  <c r="D121" i="7" s="1"/>
  <c r="Q121" i="7" s="1"/>
  <c r="G126" i="7"/>
  <c r="F126" i="7" s="1"/>
  <c r="E126" i="7" s="1"/>
  <c r="D126" i="7" s="1"/>
  <c r="Q126" i="7" s="1"/>
  <c r="F175" i="7"/>
  <c r="E175" i="7" s="1"/>
  <c r="D175" i="7" s="1"/>
  <c r="Q175" i="7" s="1"/>
  <c r="F179" i="7"/>
  <c r="E179" i="7" s="1"/>
  <c r="D179" i="7" s="1"/>
  <c r="Q179" i="7" s="1"/>
  <c r="I126" i="10"/>
  <c r="H126" i="10"/>
  <c r="F126" i="10" s="1"/>
  <c r="E126" i="10" s="1"/>
  <c r="D126" i="10" s="1"/>
  <c r="Q126" i="10" s="1"/>
  <c r="I67" i="11"/>
  <c r="H67" i="11"/>
  <c r="F67" i="11" s="1"/>
  <c r="E67" i="11" s="1"/>
  <c r="D67" i="11" s="1"/>
  <c r="Q67" i="11" s="1"/>
  <c r="I72" i="11"/>
  <c r="H72" i="11"/>
  <c r="H87" i="11"/>
  <c r="I87" i="11"/>
  <c r="I14" i="14"/>
  <c r="H14" i="14"/>
  <c r="F14" i="14" s="1"/>
  <c r="E14" i="14" s="1"/>
  <c r="D14" i="14" s="1"/>
  <c r="Q14" i="14" s="1"/>
  <c r="H23" i="14"/>
  <c r="F23" i="14" s="1"/>
  <c r="E23" i="14" s="1"/>
  <c r="D23" i="14" s="1"/>
  <c r="Q23" i="14" s="1"/>
  <c r="I23" i="14"/>
  <c r="I48" i="16"/>
  <c r="H48" i="16"/>
  <c r="I91" i="16"/>
  <c r="H91" i="16"/>
  <c r="G94" i="16"/>
  <c r="F94" i="16" s="1"/>
  <c r="E94" i="16" s="1"/>
  <c r="D94" i="16" s="1"/>
  <c r="Q94" i="16" s="1"/>
  <c r="H96" i="16"/>
  <c r="I96" i="16"/>
  <c r="H112" i="16"/>
  <c r="I112" i="16"/>
  <c r="I168" i="16"/>
  <c r="H168" i="16"/>
  <c r="G7" i="7"/>
  <c r="F7" i="7" s="1"/>
  <c r="E7" i="7" s="1"/>
  <c r="D7" i="7" s="1"/>
  <c r="Q7" i="7" s="1"/>
  <c r="G19" i="7"/>
  <c r="F19" i="7" s="1"/>
  <c r="E19" i="7" s="1"/>
  <c r="D19" i="7" s="1"/>
  <c r="Q19" i="7" s="1"/>
  <c r="G23" i="7"/>
  <c r="G29" i="7"/>
  <c r="F29" i="7" s="1"/>
  <c r="E29" i="7" s="1"/>
  <c r="D29" i="7" s="1"/>
  <c r="Q29" i="7" s="1"/>
  <c r="G32" i="7"/>
  <c r="F32" i="7" s="1"/>
  <c r="E32" i="7" s="1"/>
  <c r="D32" i="7" s="1"/>
  <c r="Q32" i="7" s="1"/>
  <c r="G33" i="7"/>
  <c r="F33" i="7" s="1"/>
  <c r="E33" i="7" s="1"/>
  <c r="D33" i="7" s="1"/>
  <c r="Q33" i="7" s="1"/>
  <c r="G55" i="7"/>
  <c r="F55" i="7" s="1"/>
  <c r="E55" i="7" s="1"/>
  <c r="D55" i="7" s="1"/>
  <c r="Q55" i="7" s="1"/>
  <c r="H65" i="7"/>
  <c r="K70" i="7"/>
  <c r="G70" i="7" s="1"/>
  <c r="F70" i="7" s="1"/>
  <c r="E70" i="7" s="1"/>
  <c r="D70" i="7" s="1"/>
  <c r="Q70" i="7" s="1"/>
  <c r="G80" i="7"/>
  <c r="F80" i="7" s="1"/>
  <c r="E80" i="7" s="1"/>
  <c r="D80" i="7" s="1"/>
  <c r="Q80" i="7" s="1"/>
  <c r="G101" i="7"/>
  <c r="F101" i="7" s="1"/>
  <c r="E101" i="7" s="1"/>
  <c r="D101" i="7" s="1"/>
  <c r="Q101" i="7" s="1"/>
  <c r="G124" i="7"/>
  <c r="F124" i="7" s="1"/>
  <c r="E124" i="7" s="1"/>
  <c r="D124" i="7" s="1"/>
  <c r="Q124" i="7" s="1"/>
  <c r="G168" i="7"/>
  <c r="F168" i="7" s="1"/>
  <c r="E168" i="7" s="1"/>
  <c r="D168" i="7" s="1"/>
  <c r="Q168" i="7" s="1"/>
  <c r="G171" i="7"/>
  <c r="F171" i="7" s="1"/>
  <c r="E171" i="7" s="1"/>
  <c r="D171" i="7" s="1"/>
  <c r="Q171" i="7" s="1"/>
  <c r="G63" i="10"/>
  <c r="F63" i="10" s="1"/>
  <c r="E63" i="10" s="1"/>
  <c r="D63" i="10" s="1"/>
  <c r="Q63" i="10" s="1"/>
  <c r="I88" i="10"/>
  <c r="H88" i="10"/>
  <c r="H32" i="11"/>
  <c r="F32" i="11" s="1"/>
  <c r="E32" i="11" s="1"/>
  <c r="D32" i="11" s="1"/>
  <c r="Q32" i="11" s="1"/>
  <c r="I41" i="11"/>
  <c r="E41" i="11" s="1"/>
  <c r="D41" i="11" s="1"/>
  <c r="Q41" i="11" s="1"/>
  <c r="H54" i="11"/>
  <c r="H57" i="11"/>
  <c r="F57" i="11" s="1"/>
  <c r="E57" i="11" s="1"/>
  <c r="D57" i="11" s="1"/>
  <c r="Q57" i="11" s="1"/>
  <c r="H63" i="11"/>
  <c r="I101" i="11"/>
  <c r="H101" i="11"/>
  <c r="F101" i="11" s="1"/>
  <c r="M127" i="10"/>
  <c r="M115" i="10"/>
  <c r="M112" i="10"/>
  <c r="M111" i="10"/>
  <c r="M108" i="10"/>
  <c r="M99" i="10"/>
  <c r="M89" i="10"/>
  <c r="M67" i="10"/>
  <c r="M45" i="10"/>
  <c r="G45" i="10" s="1"/>
  <c r="F45" i="10" s="1"/>
  <c r="E45" i="10" s="1"/>
  <c r="D45" i="10" s="1"/>
  <c r="M23" i="10"/>
  <c r="M16" i="10"/>
  <c r="M10" i="10"/>
  <c r="M122" i="10"/>
  <c r="M120" i="10"/>
  <c r="M117" i="10"/>
  <c r="M100" i="10"/>
  <c r="M88" i="10"/>
  <c r="M81" i="10"/>
  <c r="M78" i="10"/>
  <c r="G78" i="10" s="1"/>
  <c r="F78" i="10" s="1"/>
  <c r="E78" i="10" s="1"/>
  <c r="D78" i="10" s="1"/>
  <c r="H27" i="14"/>
  <c r="F27" i="14" s="1"/>
  <c r="E27" i="14" s="1"/>
  <c r="D27" i="14" s="1"/>
  <c r="Q27" i="14" s="1"/>
  <c r="H40" i="14"/>
  <c r="F40" i="14" s="1"/>
  <c r="E40" i="14" s="1"/>
  <c r="D40" i="14" s="1"/>
  <c r="Q40" i="14" s="1"/>
  <c r="H47" i="14"/>
  <c r="F47" i="14" s="1"/>
  <c r="E47" i="14" s="1"/>
  <c r="D47" i="14" s="1"/>
  <c r="Q47" i="14" s="1"/>
  <c r="I53" i="14"/>
  <c r="H80" i="14"/>
  <c r="F80" i="14" s="1"/>
  <c r="I80" i="14"/>
  <c r="H129" i="14"/>
  <c r="F129" i="14" s="1"/>
  <c r="E129" i="14" s="1"/>
  <c r="D129" i="14" s="1"/>
  <c r="Q129" i="14" s="1"/>
  <c r="I131" i="14"/>
  <c r="K75" i="14"/>
  <c r="G75" i="14" s="1"/>
  <c r="F75" i="14" s="1"/>
  <c r="E75" i="14" s="1"/>
  <c r="D75" i="14" s="1"/>
  <c r="K71" i="14"/>
  <c r="G71" i="14" s="1"/>
  <c r="F71" i="14" s="1"/>
  <c r="E71" i="14" s="1"/>
  <c r="D71" i="14" s="1"/>
  <c r="K67" i="14"/>
  <c r="K63" i="14"/>
  <c r="G63" i="14" s="1"/>
  <c r="F63" i="14" s="1"/>
  <c r="E63" i="14" s="1"/>
  <c r="D63" i="14" s="1"/>
  <c r="Q63" i="14" s="1"/>
  <c r="K74" i="14"/>
  <c r="K70" i="14"/>
  <c r="K66" i="14"/>
  <c r="I66" i="16"/>
  <c r="H66" i="16"/>
  <c r="H88" i="16"/>
  <c r="I88" i="16"/>
  <c r="G89" i="16"/>
  <c r="F89" i="16" s="1"/>
  <c r="E89" i="16" s="1"/>
  <c r="D89" i="16" s="1"/>
  <c r="Q89" i="16" s="1"/>
  <c r="I115" i="16"/>
  <c r="H115" i="16"/>
  <c r="H155" i="16"/>
  <c r="I155" i="16"/>
  <c r="H159" i="16"/>
  <c r="I159" i="16"/>
  <c r="H203" i="16"/>
  <c r="F203" i="16" s="1"/>
  <c r="I203" i="16"/>
  <c r="G8" i="7"/>
  <c r="F8" i="7" s="1"/>
  <c r="E8" i="7" s="1"/>
  <c r="D8" i="7" s="1"/>
  <c r="Q8" i="7" s="1"/>
  <c r="G40" i="7"/>
  <c r="F40" i="7" s="1"/>
  <c r="E40" i="7" s="1"/>
  <c r="D40" i="7" s="1"/>
  <c r="G42" i="7"/>
  <c r="F42" i="7" s="1"/>
  <c r="E42" i="7" s="1"/>
  <c r="D42" i="7" s="1"/>
  <c r="Q42" i="7" s="1"/>
  <c r="G46" i="7"/>
  <c r="F46" i="7" s="1"/>
  <c r="E46" i="7" s="1"/>
  <c r="D46" i="7" s="1"/>
  <c r="Q46" i="7" s="1"/>
  <c r="G52" i="7"/>
  <c r="F52" i="7" s="1"/>
  <c r="E52" i="7" s="1"/>
  <c r="D52" i="7" s="1"/>
  <c r="Q52" i="7" s="1"/>
  <c r="K87" i="7"/>
  <c r="G87" i="7" s="1"/>
  <c r="F87" i="7" s="1"/>
  <c r="E87" i="7" s="1"/>
  <c r="D87" i="7" s="1"/>
  <c r="Q87" i="7" s="1"/>
  <c r="K80" i="7"/>
  <c r="K78" i="7"/>
  <c r="G78" i="7" s="1"/>
  <c r="F78" i="7" s="1"/>
  <c r="E78" i="7" s="1"/>
  <c r="D78" i="7" s="1"/>
  <c r="Q78" i="7" s="1"/>
  <c r="G92" i="7"/>
  <c r="F92" i="7" s="1"/>
  <c r="E92" i="7" s="1"/>
  <c r="D92" i="7" s="1"/>
  <c r="Q92" i="7" s="1"/>
  <c r="G127" i="7"/>
  <c r="F127" i="7" s="1"/>
  <c r="E127" i="7" s="1"/>
  <c r="D127" i="7" s="1"/>
  <c r="Q127" i="7" s="1"/>
  <c r="G153" i="7"/>
  <c r="F153" i="7" s="1"/>
  <c r="E153" i="7" s="1"/>
  <c r="D153" i="7" s="1"/>
  <c r="Q153" i="7" s="1"/>
  <c r="G157" i="7"/>
  <c r="F157" i="7" s="1"/>
  <c r="E157" i="7" s="1"/>
  <c r="D157" i="7" s="1"/>
  <c r="Q157" i="7" s="1"/>
  <c r="H77" i="14"/>
  <c r="F77" i="14" s="1"/>
  <c r="I77" i="14"/>
  <c r="G131" i="14"/>
  <c r="F131" i="14" s="1"/>
  <c r="E131" i="14" s="1"/>
  <c r="D131" i="14" s="1"/>
  <c r="Q131" i="14" s="1"/>
  <c r="I54" i="16"/>
  <c r="H54" i="16"/>
  <c r="H84" i="16"/>
  <c r="I84" i="16"/>
  <c r="G85" i="16"/>
  <c r="F85" i="16" s="1"/>
  <c r="E85" i="16" s="1"/>
  <c r="D85" i="16" s="1"/>
  <c r="Q85" i="16" s="1"/>
  <c r="I95" i="16"/>
  <c r="H95" i="16"/>
  <c r="G114" i="16"/>
  <c r="F114" i="16" s="1"/>
  <c r="E114" i="16" s="1"/>
  <c r="D114" i="16" s="1"/>
  <c r="Q114" i="16" s="1"/>
  <c r="E129" i="16"/>
  <c r="D129" i="16" s="1"/>
  <c r="E134" i="16"/>
  <c r="D134" i="16" s="1"/>
  <c r="Q134" i="16" s="1"/>
  <c r="H142" i="16"/>
  <c r="I142" i="16"/>
  <c r="G156" i="16"/>
  <c r="F156" i="16" s="1"/>
  <c r="E156" i="16" s="1"/>
  <c r="D156" i="16" s="1"/>
  <c r="K87" i="11"/>
  <c r="K81" i="11"/>
  <c r="H83" i="14"/>
  <c r="G72" i="16"/>
  <c r="F72" i="16" s="1"/>
  <c r="E72" i="16" s="1"/>
  <c r="D72" i="16" s="1"/>
  <c r="Q72" i="16" s="1"/>
  <c r="G76" i="16"/>
  <c r="F76" i="16" s="1"/>
  <c r="E76" i="16" s="1"/>
  <c r="D76" i="16" s="1"/>
  <c r="Q76" i="16" s="1"/>
  <c r="G80" i="16"/>
  <c r="F80" i="16" s="1"/>
  <c r="E80" i="16" s="1"/>
  <c r="D80" i="16" s="1"/>
  <c r="Q80" i="16" s="1"/>
  <c r="E108" i="16"/>
  <c r="D108" i="16" s="1"/>
  <c r="Q108" i="16" s="1"/>
  <c r="E122" i="16"/>
  <c r="D122" i="16" s="1"/>
  <c r="Q122" i="16" s="1"/>
  <c r="G128" i="16"/>
  <c r="F128" i="16" s="1"/>
  <c r="E128" i="16" s="1"/>
  <c r="D128" i="16" s="1"/>
  <c r="Q128" i="16" s="1"/>
  <c r="I180" i="16"/>
  <c r="H180" i="16"/>
  <c r="H183" i="16"/>
  <c r="I183" i="16"/>
  <c r="H187" i="16"/>
  <c r="I187" i="16"/>
  <c r="G64" i="7"/>
  <c r="F64" i="7" s="1"/>
  <c r="E64" i="7" s="1"/>
  <c r="D64" i="7" s="1"/>
  <c r="Q64" i="7" s="1"/>
  <c r="G114" i="7"/>
  <c r="F114" i="7" s="1"/>
  <c r="E114" i="7" s="1"/>
  <c r="D114" i="7" s="1"/>
  <c r="Q114" i="7" s="1"/>
  <c r="G120" i="7"/>
  <c r="F120" i="7" s="1"/>
  <c r="E120" i="7" s="1"/>
  <c r="D120" i="7" s="1"/>
  <c r="Q120" i="7" s="1"/>
  <c r="G129" i="7"/>
  <c r="F129" i="7" s="1"/>
  <c r="E129" i="7" s="1"/>
  <c r="D129" i="7" s="1"/>
  <c r="Q129" i="7" s="1"/>
  <c r="G134" i="7"/>
  <c r="F134" i="7" s="1"/>
  <c r="E134" i="7" s="1"/>
  <c r="D134" i="7" s="1"/>
  <c r="Q134" i="7" s="1"/>
  <c r="G139" i="7"/>
  <c r="F139" i="7" s="1"/>
  <c r="E139" i="7" s="1"/>
  <c r="D139" i="7" s="1"/>
  <c r="Q139" i="7" s="1"/>
  <c r="G148" i="7"/>
  <c r="F148" i="7" s="1"/>
  <c r="E148" i="7" s="1"/>
  <c r="D148" i="7" s="1"/>
  <c r="Q148" i="7" s="1"/>
  <c r="G155" i="7"/>
  <c r="F155" i="7" s="1"/>
  <c r="E155" i="7" s="1"/>
  <c r="D155" i="7" s="1"/>
  <c r="Q155" i="7" s="1"/>
  <c r="G159" i="7"/>
  <c r="G186" i="7"/>
  <c r="F186" i="7" s="1"/>
  <c r="E186" i="7" s="1"/>
  <c r="D186" i="7" s="1"/>
  <c r="Q186" i="7" s="1"/>
  <c r="H130" i="14"/>
  <c r="F130" i="14" s="1"/>
  <c r="E130" i="14" s="1"/>
  <c r="D130" i="14" s="1"/>
  <c r="Q130" i="14" s="1"/>
  <c r="I130" i="14"/>
  <c r="I9" i="16"/>
  <c r="H9" i="16"/>
  <c r="H45" i="16"/>
  <c r="I45" i="16"/>
  <c r="H70" i="16"/>
  <c r="I70" i="16"/>
  <c r="H74" i="16"/>
  <c r="I74" i="16"/>
  <c r="H78" i="16"/>
  <c r="I78" i="16"/>
  <c r="H82" i="16"/>
  <c r="I82" i="16"/>
  <c r="H98" i="16"/>
  <c r="I98" i="16"/>
  <c r="H102" i="16"/>
  <c r="I102" i="16"/>
  <c r="H106" i="16"/>
  <c r="I106" i="16"/>
  <c r="H110" i="16"/>
  <c r="I110" i="16"/>
  <c r="G121" i="16"/>
  <c r="F121" i="16" s="1"/>
  <c r="E121" i="16" s="1"/>
  <c r="D121" i="16" s="1"/>
  <c r="Q121" i="16" s="1"/>
  <c r="I158" i="16"/>
  <c r="H158" i="16"/>
  <c r="E174" i="16"/>
  <c r="D174" i="16" s="1"/>
  <c r="Q174" i="16" s="1"/>
  <c r="H177" i="16"/>
  <c r="I177" i="16"/>
  <c r="G179" i="16"/>
  <c r="F179" i="16" s="1"/>
  <c r="E179" i="16" s="1"/>
  <c r="D179" i="16" s="1"/>
  <c r="Q179" i="16" s="1"/>
  <c r="G184" i="16"/>
  <c r="F184" i="16" s="1"/>
  <c r="E184" i="16" s="1"/>
  <c r="D184" i="16" s="1"/>
  <c r="Q184" i="16" s="1"/>
  <c r="I15" i="16"/>
  <c r="G18" i="16"/>
  <c r="F18" i="16" s="1"/>
  <c r="K46" i="16"/>
  <c r="G46" i="16" s="1"/>
  <c r="K50" i="16"/>
  <c r="G50" i="16" s="1"/>
  <c r="K54" i="16"/>
  <c r="K43" i="16"/>
  <c r="K47" i="16"/>
  <c r="G47" i="16" s="1"/>
  <c r="F47" i="16" s="1"/>
  <c r="K42" i="16"/>
  <c r="K48" i="16"/>
  <c r="K49" i="16"/>
  <c r="G49" i="16" s="1"/>
  <c r="F49" i="16" s="1"/>
  <c r="E49" i="16" s="1"/>
  <c r="D49" i="16" s="1"/>
  <c r="Q49" i="16" s="1"/>
  <c r="K51" i="16"/>
  <c r="G51" i="16" s="1"/>
  <c r="F51" i="16" s="1"/>
  <c r="K44" i="16"/>
  <c r="K52" i="16"/>
  <c r="G52" i="16" s="1"/>
  <c r="F52" i="16" s="1"/>
  <c r="E52" i="16" s="1"/>
  <c r="D52" i="16" s="1"/>
  <c r="Q52" i="16" s="1"/>
  <c r="K45" i="16"/>
  <c r="G45" i="16" s="1"/>
  <c r="K53" i="16"/>
  <c r="I57" i="16"/>
  <c r="K57" i="16"/>
  <c r="G57" i="16" s="1"/>
  <c r="F57" i="16" s="1"/>
  <c r="K61" i="16"/>
  <c r="K65" i="16"/>
  <c r="G65" i="16" s="1"/>
  <c r="F65" i="16" s="1"/>
  <c r="E65" i="16" s="1"/>
  <c r="D65" i="16" s="1"/>
  <c r="Q65" i="16" s="1"/>
  <c r="K56" i="16"/>
  <c r="G56" i="16" s="1"/>
  <c r="F56" i="16" s="1"/>
  <c r="K62" i="16"/>
  <c r="G62" i="16" s="1"/>
  <c r="F62" i="16" s="1"/>
  <c r="K66" i="16"/>
  <c r="G66" i="16" s="1"/>
  <c r="F66" i="16" s="1"/>
  <c r="E66" i="16" s="1"/>
  <c r="D66" i="16" s="1"/>
  <c r="Q66" i="16" s="1"/>
  <c r="K58" i="16"/>
  <c r="G58" i="16" s="1"/>
  <c r="F58" i="16" s="1"/>
  <c r="K59" i="16"/>
  <c r="K63" i="16"/>
  <c r="G63" i="16" s="1"/>
  <c r="F63" i="16" s="1"/>
  <c r="K67" i="16"/>
  <c r="G67" i="16" s="1"/>
  <c r="F67" i="16" s="1"/>
  <c r="E67" i="16" s="1"/>
  <c r="D67" i="16" s="1"/>
  <c r="Q67" i="16" s="1"/>
  <c r="K60" i="16"/>
  <c r="G60" i="16" s="1"/>
  <c r="K64" i="16"/>
  <c r="G64" i="16" s="1"/>
  <c r="F64" i="16" s="1"/>
  <c r="K68" i="16"/>
  <c r="G70" i="16"/>
  <c r="G74" i="16"/>
  <c r="G78" i="16"/>
  <c r="F78" i="16" s="1"/>
  <c r="E78" i="16" s="1"/>
  <c r="D78" i="16" s="1"/>
  <c r="Q78" i="16" s="1"/>
  <c r="G88" i="16"/>
  <c r="F88" i="16" s="1"/>
  <c r="E88" i="16" s="1"/>
  <c r="D88" i="16" s="1"/>
  <c r="Q88" i="16" s="1"/>
  <c r="G92" i="16"/>
  <c r="F92" i="16" s="1"/>
  <c r="E92" i="16" s="1"/>
  <c r="D92" i="16" s="1"/>
  <c r="Q92" i="16" s="1"/>
  <c r="G98" i="16"/>
  <c r="F98" i="16" s="1"/>
  <c r="G102" i="16"/>
  <c r="G106" i="16"/>
  <c r="F106" i="16" s="1"/>
  <c r="E106" i="16" s="1"/>
  <c r="D106" i="16" s="1"/>
  <c r="Q106" i="16" s="1"/>
  <c r="G112" i="16"/>
  <c r="H116" i="16"/>
  <c r="G118" i="16"/>
  <c r="F118" i="16" s="1"/>
  <c r="E118" i="16" s="1"/>
  <c r="D118" i="16" s="1"/>
  <c r="Q118" i="16" s="1"/>
  <c r="G133" i="16"/>
  <c r="F133" i="16" s="1"/>
  <c r="E133" i="16" s="1"/>
  <c r="D133" i="16" s="1"/>
  <c r="Q133" i="16" s="1"/>
  <c r="H136" i="16"/>
  <c r="I136" i="16"/>
  <c r="G143" i="16"/>
  <c r="F143" i="16" s="1"/>
  <c r="E143" i="16" s="1"/>
  <c r="D143" i="16" s="1"/>
  <c r="Q143" i="16" s="1"/>
  <c r="H146" i="16"/>
  <c r="I146" i="16"/>
  <c r="G160" i="16"/>
  <c r="F160" i="16" s="1"/>
  <c r="E160" i="16" s="1"/>
  <c r="D160" i="16" s="1"/>
  <c r="Q160" i="16" s="1"/>
  <c r="H163" i="16"/>
  <c r="I163" i="16"/>
  <c r="H169" i="16"/>
  <c r="I169" i="16"/>
  <c r="G188" i="16"/>
  <c r="F188" i="16" s="1"/>
  <c r="E188" i="16" s="1"/>
  <c r="D188" i="16" s="1"/>
  <c r="Q188" i="16" s="1"/>
  <c r="H191" i="16"/>
  <c r="I191" i="16"/>
  <c r="F198" i="16"/>
  <c r="E198" i="16" s="1"/>
  <c r="D198" i="16" s="1"/>
  <c r="Q198" i="16" s="1"/>
  <c r="F202" i="16"/>
  <c r="E202" i="16" s="1"/>
  <c r="D202" i="16" s="1"/>
  <c r="Q202" i="16" s="1"/>
  <c r="F206" i="16"/>
  <c r="E206" i="16" s="1"/>
  <c r="D206" i="16" s="1"/>
  <c r="Q206" i="16" s="1"/>
  <c r="G14" i="16"/>
  <c r="F14" i="16" s="1"/>
  <c r="E14" i="16" s="1"/>
  <c r="D14" i="16" s="1"/>
  <c r="Q14" i="16" s="1"/>
  <c r="G19" i="16"/>
  <c r="F19" i="16" s="1"/>
  <c r="G42" i="16"/>
  <c r="G82" i="16"/>
  <c r="G87" i="16"/>
  <c r="G91" i="16"/>
  <c r="G95" i="16"/>
  <c r="F95" i="16" s="1"/>
  <c r="G96" i="16"/>
  <c r="F96" i="16" s="1"/>
  <c r="G110" i="16"/>
  <c r="G115" i="16"/>
  <c r="F115" i="16" s="1"/>
  <c r="G117" i="16"/>
  <c r="F117" i="16" s="1"/>
  <c r="E117" i="16" s="1"/>
  <c r="D117" i="16" s="1"/>
  <c r="Q117" i="16" s="1"/>
  <c r="G123" i="16"/>
  <c r="F123" i="16" s="1"/>
  <c r="E123" i="16" s="1"/>
  <c r="D123" i="16" s="1"/>
  <c r="Q123" i="16" s="1"/>
  <c r="G130" i="16"/>
  <c r="F130" i="16" s="1"/>
  <c r="E130" i="16" s="1"/>
  <c r="D130" i="16" s="1"/>
  <c r="Q130" i="16" s="1"/>
  <c r="G132" i="16"/>
  <c r="F132" i="16" s="1"/>
  <c r="E132" i="16" s="1"/>
  <c r="D132" i="16" s="1"/>
  <c r="Q132" i="16" s="1"/>
  <c r="G137" i="16"/>
  <c r="F137" i="16" s="1"/>
  <c r="E137" i="16" s="1"/>
  <c r="D137" i="16" s="1"/>
  <c r="Q137" i="16" s="1"/>
  <c r="H141" i="16"/>
  <c r="I141" i="16"/>
  <c r="G147" i="16"/>
  <c r="F147" i="16" s="1"/>
  <c r="E147" i="16" s="1"/>
  <c r="D147" i="16" s="1"/>
  <c r="Q147" i="16" s="1"/>
  <c r="H150" i="16"/>
  <c r="I150" i="16"/>
  <c r="G152" i="16"/>
  <c r="F152" i="16" s="1"/>
  <c r="E152" i="16" s="1"/>
  <c r="D152" i="16" s="1"/>
  <c r="Q152" i="16" s="1"/>
  <c r="G164" i="16"/>
  <c r="F164" i="16" s="1"/>
  <c r="E164" i="16" s="1"/>
  <c r="D164" i="16" s="1"/>
  <c r="Q164" i="16" s="1"/>
  <c r="G170" i="16"/>
  <c r="F170" i="16" s="1"/>
  <c r="E170" i="16" s="1"/>
  <c r="D170" i="16" s="1"/>
  <c r="Q170" i="16" s="1"/>
  <c r="H173" i="16"/>
  <c r="I173" i="16"/>
  <c r="G175" i="16"/>
  <c r="F175" i="16" s="1"/>
  <c r="E175" i="16" s="1"/>
  <c r="D175" i="16" s="1"/>
  <c r="Q175" i="16" s="1"/>
  <c r="G192" i="16"/>
  <c r="F192" i="16" s="1"/>
  <c r="E192" i="16" s="1"/>
  <c r="D192" i="16" s="1"/>
  <c r="Q192" i="16" s="1"/>
  <c r="H197" i="16"/>
  <c r="F197" i="16" s="1"/>
  <c r="E197" i="16" s="1"/>
  <c r="D197" i="16" s="1"/>
  <c r="Q197" i="16" s="1"/>
  <c r="H201" i="16"/>
  <c r="F201" i="16" s="1"/>
  <c r="E201" i="16" s="1"/>
  <c r="D201" i="16" s="1"/>
  <c r="Q201" i="16" s="1"/>
  <c r="H205" i="16"/>
  <c r="F205" i="16" s="1"/>
  <c r="E205" i="16" s="1"/>
  <c r="D205" i="16" s="1"/>
  <c r="Q205" i="16" s="1"/>
  <c r="G136" i="16"/>
  <c r="G142" i="16"/>
  <c r="F142" i="16" s="1"/>
  <c r="E142" i="16" s="1"/>
  <c r="D142" i="16" s="1"/>
  <c r="Q142" i="16" s="1"/>
  <c r="G146" i="16"/>
  <c r="F146" i="16" s="1"/>
  <c r="G150" i="16"/>
  <c r="G155" i="16"/>
  <c r="F155" i="16" s="1"/>
  <c r="G159" i="16"/>
  <c r="F159" i="16" s="1"/>
  <c r="E159" i="16" s="1"/>
  <c r="D159" i="16" s="1"/>
  <c r="Q159" i="16" s="1"/>
  <c r="G163" i="16"/>
  <c r="F163" i="16" s="1"/>
  <c r="G169" i="16"/>
  <c r="G173" i="16"/>
  <c r="F173" i="16" s="1"/>
  <c r="G177" i="16"/>
  <c r="F177" i="16" s="1"/>
  <c r="G116" i="16"/>
  <c r="G120" i="16"/>
  <c r="F120" i="16" s="1"/>
  <c r="E120" i="16" s="1"/>
  <c r="D120" i="16" s="1"/>
  <c r="Q120" i="16" s="1"/>
  <c r="G127" i="16"/>
  <c r="F127" i="16" s="1"/>
  <c r="E127" i="16" s="1"/>
  <c r="D127" i="16" s="1"/>
  <c r="Q127" i="16" s="1"/>
  <c r="G131" i="16"/>
  <c r="F131" i="16" s="1"/>
  <c r="E131" i="16" s="1"/>
  <c r="D131" i="16" s="1"/>
  <c r="Q131" i="16" s="1"/>
  <c r="G135" i="16"/>
  <c r="F135" i="16" s="1"/>
  <c r="E135" i="16" s="1"/>
  <c r="D135" i="16" s="1"/>
  <c r="Q135" i="16" s="1"/>
  <c r="G140" i="16"/>
  <c r="F140" i="16" s="1"/>
  <c r="E140" i="16" s="1"/>
  <c r="D140" i="16" s="1"/>
  <c r="Q140" i="16" s="1"/>
  <c r="G141" i="16"/>
  <c r="F141" i="16" s="1"/>
  <c r="G145" i="16"/>
  <c r="F145" i="16" s="1"/>
  <c r="E145" i="16" s="1"/>
  <c r="D145" i="16" s="1"/>
  <c r="Q145" i="16" s="1"/>
  <c r="G149" i="16"/>
  <c r="F149" i="16" s="1"/>
  <c r="E149" i="16" s="1"/>
  <c r="D149" i="16" s="1"/>
  <c r="Q149" i="16" s="1"/>
  <c r="G154" i="16"/>
  <c r="F154" i="16" s="1"/>
  <c r="E154" i="16" s="1"/>
  <c r="D154" i="16" s="1"/>
  <c r="Q154" i="16" s="1"/>
  <c r="G158" i="16"/>
  <c r="G162" i="16"/>
  <c r="F162" i="16" s="1"/>
  <c r="E162" i="16" s="1"/>
  <c r="D162" i="16" s="1"/>
  <c r="Q162" i="16" s="1"/>
  <c r="G168" i="16"/>
  <c r="G172" i="16"/>
  <c r="F172" i="16" s="1"/>
  <c r="E172" i="16" s="1"/>
  <c r="D172" i="16" s="1"/>
  <c r="Q172" i="16" s="1"/>
  <c r="G176" i="16"/>
  <c r="F176" i="16" s="1"/>
  <c r="E176" i="16" s="1"/>
  <c r="D176" i="16" s="1"/>
  <c r="Q176" i="16" s="1"/>
  <c r="G182" i="16"/>
  <c r="F182" i="16" s="1"/>
  <c r="E182" i="16" s="1"/>
  <c r="D182" i="16" s="1"/>
  <c r="Q182" i="16" s="1"/>
  <c r="G186" i="16"/>
  <c r="G190" i="16"/>
  <c r="F190" i="16" s="1"/>
  <c r="E190" i="16" s="1"/>
  <c r="D190" i="16" s="1"/>
  <c r="Q190" i="16" s="1"/>
  <c r="A306" i="5"/>
  <c r="O313" i="5"/>
  <c r="K322" i="5"/>
  <c r="K89" i="5"/>
  <c r="K101" i="5"/>
  <c r="G101" i="5" s="1"/>
  <c r="F101" i="5" s="1"/>
  <c r="K150" i="5"/>
  <c r="O315" i="5"/>
  <c r="A312" i="5"/>
  <c r="B303" i="5"/>
  <c r="K320" i="5"/>
  <c r="G217" i="5"/>
  <c r="F217" i="5" s="1"/>
  <c r="K91" i="5"/>
  <c r="K86" i="5"/>
  <c r="G86" i="5" s="1"/>
  <c r="K77" i="5"/>
  <c r="K92" i="5"/>
  <c r="K85" i="5"/>
  <c r="G85" i="5" s="1"/>
  <c r="F85" i="5" s="1"/>
  <c r="K78" i="5"/>
  <c r="G78" i="5" s="1"/>
  <c r="K81" i="5"/>
  <c r="G81" i="5" s="1"/>
  <c r="K83" i="5"/>
  <c r="G83" i="5" s="1"/>
  <c r="K14" i="5"/>
  <c r="K87" i="5"/>
  <c r="G87" i="5" s="1"/>
  <c r="K102" i="5"/>
  <c r="G102" i="5" s="1"/>
  <c r="K97" i="5"/>
  <c r="K82" i="5"/>
  <c r="K93" i="5"/>
  <c r="G93" i="5" s="1"/>
  <c r="F93" i="5" s="1"/>
  <c r="K79" i="5"/>
  <c r="G79" i="5" s="1"/>
  <c r="K103" i="5"/>
  <c r="G103" i="5" s="1"/>
  <c r="F103" i="5" s="1"/>
  <c r="K96" i="5"/>
  <c r="K88" i="5"/>
  <c r="G88" i="5" s="1"/>
  <c r="F88" i="5" s="1"/>
  <c r="G213" i="5"/>
  <c r="F213" i="5" s="1"/>
  <c r="K321" i="5"/>
  <c r="K323" i="5"/>
  <c r="G43" i="5"/>
  <c r="B307" i="5"/>
  <c r="G158" i="5"/>
  <c r="A305" i="5"/>
  <c r="B304" i="5"/>
  <c r="G131" i="5"/>
  <c r="F131" i="5" s="1"/>
  <c r="G129" i="5"/>
  <c r="B311" i="5"/>
  <c r="G184" i="5"/>
  <c r="G123" i="5"/>
  <c r="F123" i="5" s="1"/>
  <c r="G243" i="5"/>
  <c r="F243" i="5" s="1"/>
  <c r="G245" i="5"/>
  <c r="F245" i="5" s="1"/>
  <c r="G247" i="5"/>
  <c r="F247" i="5" s="1"/>
  <c r="K178" i="5"/>
  <c r="O314" i="5"/>
  <c r="G141" i="5"/>
  <c r="K98" i="5"/>
  <c r="G98" i="5" s="1"/>
  <c r="K177" i="5"/>
  <c r="G177" i="5" s="1"/>
  <c r="K13" i="5"/>
  <c r="K19" i="5"/>
  <c r="G272" i="5"/>
  <c r="F272" i="5" s="1"/>
  <c r="G237" i="5"/>
  <c r="F237" i="5" s="1"/>
  <c r="K176" i="5"/>
  <c r="K329" i="5"/>
  <c r="B308" i="5"/>
  <c r="K170" i="5"/>
  <c r="G170" i="5" s="1"/>
  <c r="F170" i="5" s="1"/>
  <c r="K18" i="5"/>
  <c r="G18" i="5" s="1"/>
  <c r="F18" i="5" s="1"/>
  <c r="K15" i="5"/>
  <c r="G277" i="5"/>
  <c r="G269" i="5"/>
  <c r="G199" i="5"/>
  <c r="F199" i="5" s="1"/>
  <c r="K179" i="5"/>
  <c r="G179" i="5" s="1"/>
  <c r="K328" i="5"/>
  <c r="O297" i="5"/>
  <c r="A308" i="5"/>
  <c r="K172" i="5"/>
  <c r="E320" i="5"/>
  <c r="A303" i="5" s="1"/>
  <c r="K9" i="5"/>
  <c r="G9" i="5" s="1"/>
  <c r="F9" i="5" s="1"/>
  <c r="K10" i="5"/>
  <c r="G10" i="5" s="1"/>
  <c r="G139" i="5"/>
  <c r="O307" i="5"/>
  <c r="O299" i="5"/>
  <c r="O311" i="5"/>
  <c r="A304" i="5"/>
  <c r="G256" i="5"/>
  <c r="G258" i="5"/>
  <c r="G262" i="5"/>
  <c r="G264" i="5"/>
  <c r="G266" i="5"/>
  <c r="K16" i="5"/>
  <c r="G16" i="5" s="1"/>
  <c r="G127" i="5"/>
  <c r="F127" i="5" s="1"/>
  <c r="G241" i="5"/>
  <c r="F241" i="5" s="1"/>
  <c r="B306" i="5"/>
  <c r="K166" i="5"/>
  <c r="G166" i="5" s="1"/>
  <c r="F166" i="5" s="1"/>
  <c r="K80" i="5"/>
  <c r="G80" i="5" s="1"/>
  <c r="K327" i="5"/>
  <c r="B312" i="5"/>
  <c r="K163" i="5"/>
  <c r="G163" i="5" s="1"/>
  <c r="K169" i="5"/>
  <c r="G169" i="5" s="1"/>
  <c r="K171" i="5"/>
  <c r="K17" i="5"/>
  <c r="G17" i="5" s="1"/>
  <c r="K173" i="5"/>
  <c r="G173" i="5" s="1"/>
  <c r="F173" i="5" s="1"/>
  <c r="K12" i="5"/>
  <c r="G12" i="5" s="1"/>
  <c r="K11" i="5"/>
  <c r="G11" i="5" s="1"/>
  <c r="G273" i="5"/>
  <c r="G238" i="5"/>
  <c r="F238" i="5" s="1"/>
  <c r="K330" i="5"/>
  <c r="K326" i="5"/>
  <c r="G192" i="5"/>
  <c r="F192" i="5" s="1"/>
  <c r="G113" i="5"/>
  <c r="F113" i="5" s="1"/>
  <c r="K167" i="5"/>
  <c r="G167" i="5" s="1"/>
  <c r="K168" i="5"/>
  <c r="G168" i="5" s="1"/>
  <c r="F168" i="5" s="1"/>
  <c r="K8" i="5"/>
  <c r="G8" i="5" s="1"/>
  <c r="F8" i="5" s="1"/>
  <c r="O303" i="5"/>
  <c r="B310" i="5"/>
  <c r="O300" i="5"/>
  <c r="O312" i="5"/>
  <c r="O306" i="5"/>
  <c r="B313" i="5"/>
  <c r="G125" i="5"/>
  <c r="F125" i="5" s="1"/>
  <c r="K324" i="5"/>
  <c r="O305" i="5"/>
  <c r="E330" i="5"/>
  <c r="A313" i="5" s="1"/>
  <c r="G136" i="5"/>
  <c r="F136" i="5" s="1"/>
  <c r="G202" i="5"/>
  <c r="F202" i="5" s="1"/>
  <c r="O304" i="5"/>
  <c r="O298" i="5"/>
  <c r="B305" i="5"/>
  <c r="G24" i="5"/>
  <c r="O310" i="5"/>
  <c r="A309" i="5"/>
  <c r="O309" i="5"/>
  <c r="G274" i="5"/>
  <c r="G239" i="5"/>
  <c r="O308" i="5"/>
  <c r="O302" i="5"/>
  <c r="B309" i="5"/>
  <c r="G77" i="5"/>
  <c r="K164" i="5"/>
  <c r="G164" i="5" s="1"/>
  <c r="K325" i="5"/>
  <c r="O301" i="5"/>
  <c r="I243" i="5"/>
  <c r="G30" i="5"/>
  <c r="G235" i="5"/>
  <c r="K149" i="5"/>
  <c r="G149" i="5" s="1"/>
  <c r="F149" i="5" s="1"/>
  <c r="G84" i="5"/>
  <c r="G242" i="5"/>
  <c r="G244" i="5"/>
  <c r="G246" i="5"/>
  <c r="G248" i="5"/>
  <c r="G250" i="5"/>
  <c r="G252" i="5"/>
  <c r="G254" i="5"/>
  <c r="G215" i="5"/>
  <c r="F215" i="5" s="1"/>
  <c r="G100" i="5"/>
  <c r="F100" i="5" s="1"/>
  <c r="G145" i="5"/>
  <c r="G33" i="5"/>
  <c r="F33" i="5" s="1"/>
  <c r="G134" i="5"/>
  <c r="F134" i="5" s="1"/>
  <c r="G116" i="5"/>
  <c r="G45" i="5"/>
  <c r="G59" i="5"/>
  <c r="G71" i="5"/>
  <c r="F71" i="5" s="1"/>
  <c r="G89" i="5"/>
  <c r="G138" i="5"/>
  <c r="K147" i="5"/>
  <c r="G147" i="5" s="1"/>
  <c r="F147" i="5" s="1"/>
  <c r="K95" i="5"/>
  <c r="G95" i="5" s="1"/>
  <c r="F95" i="5" s="1"/>
  <c r="G120" i="5"/>
  <c r="G203" i="5"/>
  <c r="F203" i="5" s="1"/>
  <c r="G205" i="5"/>
  <c r="F205" i="5" s="1"/>
  <c r="G207" i="5"/>
  <c r="F207" i="5" s="1"/>
  <c r="G209" i="5"/>
  <c r="F209" i="5" s="1"/>
  <c r="G19" i="5"/>
  <c r="F19" i="5" s="1"/>
  <c r="G23" i="5"/>
  <c r="F23" i="5" s="1"/>
  <c r="G31" i="5"/>
  <c r="F31" i="5" s="1"/>
  <c r="G165" i="5"/>
  <c r="G185" i="5"/>
  <c r="G162" i="5"/>
  <c r="F162" i="5" s="1"/>
  <c r="G152" i="5"/>
  <c r="F152" i="5" s="1"/>
  <c r="G135" i="5"/>
  <c r="F135" i="5" s="1"/>
  <c r="G130" i="5"/>
  <c r="F130" i="5" s="1"/>
  <c r="G128" i="5"/>
  <c r="F128" i="5" s="1"/>
  <c r="G195" i="5"/>
  <c r="F195" i="5" s="1"/>
  <c r="G194" i="5"/>
  <c r="F194" i="5" s="1"/>
  <c r="G35" i="5"/>
  <c r="G38" i="5"/>
  <c r="F38" i="5" s="1"/>
  <c r="G57" i="5"/>
  <c r="G69" i="5"/>
  <c r="F69" i="5" s="1"/>
  <c r="G94" i="5"/>
  <c r="F94" i="5" s="1"/>
  <c r="G180" i="5"/>
  <c r="F180" i="5" s="1"/>
  <c r="G126" i="5"/>
  <c r="G249" i="5"/>
  <c r="F249" i="5" s="1"/>
  <c r="G251" i="5"/>
  <c r="F251" i="5" s="1"/>
  <c r="G253" i="5"/>
  <c r="F253" i="5" s="1"/>
  <c r="G110" i="5"/>
  <c r="F110" i="5" s="1"/>
  <c r="G211" i="5"/>
  <c r="F211" i="5" s="1"/>
  <c r="G115" i="5"/>
  <c r="F115" i="5" s="1"/>
  <c r="G133" i="5"/>
  <c r="G46" i="5"/>
  <c r="G64" i="5"/>
  <c r="F64" i="5" s="1"/>
  <c r="G72" i="5"/>
  <c r="F72" i="5" s="1"/>
  <c r="G142" i="5"/>
  <c r="G183" i="5"/>
  <c r="G275" i="5"/>
  <c r="F275" i="5" s="1"/>
  <c r="G240" i="5"/>
  <c r="F240" i="5" s="1"/>
  <c r="G157" i="5"/>
  <c r="F157" i="5" s="1"/>
  <c r="G155" i="5"/>
  <c r="G92" i="5"/>
  <c r="G63" i="5"/>
  <c r="G201" i="5"/>
  <c r="G197" i="5"/>
  <c r="F197" i="5" s="1"/>
  <c r="G107" i="5"/>
  <c r="F107" i="5" s="1"/>
  <c r="G214" i="5"/>
  <c r="G32" i="5"/>
  <c r="G41" i="5"/>
  <c r="F41" i="5" s="1"/>
  <c r="G21" i="5"/>
  <c r="G193" i="5"/>
  <c r="G260" i="5"/>
  <c r="F260" i="5" s="1"/>
  <c r="G44" i="5"/>
  <c r="F44" i="5" s="1"/>
  <c r="G50" i="5"/>
  <c r="G53" i="5"/>
  <c r="G58" i="5"/>
  <c r="G70" i="5"/>
  <c r="F70" i="5" s="1"/>
  <c r="G137" i="5"/>
  <c r="G140" i="5"/>
  <c r="G181" i="5"/>
  <c r="G148" i="5"/>
  <c r="F148" i="5" s="1"/>
  <c r="G190" i="5"/>
  <c r="G109" i="5"/>
  <c r="F109" i="5" s="1"/>
  <c r="G114" i="5"/>
  <c r="F114" i="5" s="1"/>
  <c r="I245" i="5"/>
  <c r="I113" i="5"/>
  <c r="I192" i="5"/>
  <c r="H126" i="5"/>
  <c r="H198" i="5"/>
  <c r="I253" i="5"/>
  <c r="I247" i="5"/>
  <c r="I249" i="5"/>
  <c r="I251" i="5"/>
  <c r="H250" i="5"/>
  <c r="H246" i="5"/>
  <c r="H117" i="5"/>
  <c r="I203" i="5"/>
  <c r="H25" i="5"/>
  <c r="H119" i="5"/>
  <c r="H233" i="5"/>
  <c r="I215" i="5"/>
  <c r="H248" i="5"/>
  <c r="H244" i="5"/>
  <c r="H214" i="5"/>
  <c r="I197" i="5"/>
  <c r="I170" i="5"/>
  <c r="I91" i="5"/>
  <c r="I166" i="5"/>
  <c r="H121" i="5"/>
  <c r="H35" i="5"/>
  <c r="I213" i="5"/>
  <c r="I100" i="5"/>
  <c r="I123" i="5"/>
  <c r="H242" i="5"/>
  <c r="I107" i="5"/>
  <c r="I278" i="5"/>
  <c r="H254" i="5"/>
  <c r="I122" i="5"/>
  <c r="H252" i="5"/>
  <c r="H200" i="5"/>
  <c r="H84" i="5"/>
  <c r="I36" i="5"/>
  <c r="I39" i="5"/>
  <c r="G65" i="5"/>
  <c r="G37" i="5"/>
  <c r="F37" i="5" s="1"/>
  <c r="G105" i="5"/>
  <c r="G178" i="5"/>
  <c r="F178" i="5" s="1"/>
  <c r="G153" i="5"/>
  <c r="G22" i="5"/>
  <c r="G73" i="5"/>
  <c r="G96" i="5"/>
  <c r="G119" i="5"/>
  <c r="G143" i="5"/>
  <c r="F143" i="5" s="1"/>
  <c r="G172" i="5"/>
  <c r="G176" i="5"/>
  <c r="G151" i="5"/>
  <c r="F151" i="5" s="1"/>
  <c r="G36" i="5"/>
  <c r="F36" i="5" s="1"/>
  <c r="G200" i="5"/>
  <c r="G233" i="5"/>
  <c r="G122" i="5"/>
  <c r="F122" i="5" s="1"/>
  <c r="G13" i="5"/>
  <c r="G25" i="5"/>
  <c r="G42" i="5"/>
  <c r="G47" i="5"/>
  <c r="G56" i="5"/>
  <c r="G61" i="5"/>
  <c r="F61" i="5" s="1"/>
  <c r="G68" i="5"/>
  <c r="G187" i="5"/>
  <c r="F187" i="5" s="1"/>
  <c r="G271" i="5"/>
  <c r="F271" i="5" s="1"/>
  <c r="G236" i="5"/>
  <c r="F236" i="5" s="1"/>
  <c r="G161" i="5"/>
  <c r="F161" i="5" s="1"/>
  <c r="G156" i="5"/>
  <c r="G154" i="5"/>
  <c r="G204" i="5"/>
  <c r="F204" i="5" s="1"/>
  <c r="G206" i="5"/>
  <c r="F206" i="5" s="1"/>
  <c r="G208" i="5"/>
  <c r="F208" i="5" s="1"/>
  <c r="G210" i="5"/>
  <c r="F210" i="5" s="1"/>
  <c r="G28" i="5"/>
  <c r="G40" i="5"/>
  <c r="F40" i="5" s="1"/>
  <c r="G182" i="5"/>
  <c r="F182" i="5" s="1"/>
  <c r="G276" i="5"/>
  <c r="F276" i="5" s="1"/>
  <c r="G268" i="5"/>
  <c r="F268" i="5" s="1"/>
  <c r="G51" i="5"/>
  <c r="F51" i="5" s="1"/>
  <c r="G212" i="5"/>
  <c r="F212" i="5" s="1"/>
  <c r="G111" i="5"/>
  <c r="G54" i="5"/>
  <c r="F54" i="5" s="1"/>
  <c r="G66" i="5"/>
  <c r="G74" i="5"/>
  <c r="G97" i="5"/>
  <c r="F97" i="5" s="1"/>
  <c r="G144" i="5"/>
  <c r="F144" i="5" s="1"/>
  <c r="G196" i="5"/>
  <c r="G106" i="5"/>
  <c r="F106" i="5" s="1"/>
  <c r="G14" i="5"/>
  <c r="G26" i="5"/>
  <c r="G49" i="5"/>
  <c r="G52" i="5"/>
  <c r="F52" i="5" s="1"/>
  <c r="G270" i="5"/>
  <c r="G198" i="5"/>
  <c r="G117" i="5"/>
  <c r="G29" i="5"/>
  <c r="G91" i="5"/>
  <c r="F91" i="5" s="1"/>
  <c r="G159" i="5"/>
  <c r="G171" i="5"/>
  <c r="F171" i="5" s="1"/>
  <c r="G150" i="5"/>
  <c r="G189" i="5"/>
  <c r="F189" i="5" s="1"/>
  <c r="G108" i="5"/>
  <c r="G255" i="5"/>
  <c r="G257" i="5"/>
  <c r="G259" i="5"/>
  <c r="G261" i="5"/>
  <c r="G263" i="5"/>
  <c r="G265" i="5"/>
  <c r="G267" i="5"/>
  <c r="G112" i="5"/>
  <c r="G232" i="5"/>
  <c r="F232" i="5" s="1"/>
  <c r="G55" i="5"/>
  <c r="G60" i="5"/>
  <c r="F60" i="5" s="1"/>
  <c r="G67" i="5"/>
  <c r="F67" i="5" s="1"/>
  <c r="G75" i="5"/>
  <c r="G82" i="5"/>
  <c r="G186" i="5"/>
  <c r="G234" i="5"/>
  <c r="G175" i="5"/>
  <c r="F175" i="5" s="1"/>
  <c r="G124" i="5"/>
  <c r="F124" i="5" s="1"/>
  <c r="G99" i="5"/>
  <c r="G278" i="5"/>
  <c r="F278" i="5" s="1"/>
  <c r="G216" i="5"/>
  <c r="F216" i="5" s="1"/>
  <c r="G121" i="5"/>
  <c r="G15" i="5"/>
  <c r="F15" i="5" s="1"/>
  <c r="G27" i="5"/>
  <c r="G39" i="5"/>
  <c r="F39" i="5" s="1"/>
  <c r="G191" i="5"/>
  <c r="F191" i="5" s="1"/>
  <c r="I44" i="5"/>
  <c r="I195" i="5"/>
  <c r="H21" i="5"/>
  <c r="H153" i="5"/>
  <c r="I272" i="5"/>
  <c r="I194" i="5"/>
  <c r="I237" i="5"/>
  <c r="I175" i="5"/>
  <c r="I124" i="5"/>
  <c r="I178" i="5"/>
  <c r="H53" i="5"/>
  <c r="H141" i="5"/>
  <c r="H264" i="5"/>
  <c r="I33" i="5"/>
  <c r="H12" i="5"/>
  <c r="I71" i="5"/>
  <c r="I106" i="5"/>
  <c r="I180" i="5"/>
  <c r="I61" i="5"/>
  <c r="H150" i="5"/>
  <c r="I209" i="5"/>
  <c r="I207" i="5"/>
  <c r="I232" i="5"/>
  <c r="I240" i="5"/>
  <c r="I19" i="5"/>
  <c r="I205" i="5"/>
  <c r="H120" i="5"/>
  <c r="I189" i="5"/>
  <c r="I147" i="5"/>
  <c r="I72" i="5"/>
  <c r="H155" i="5"/>
  <c r="I54" i="5"/>
  <c r="H257" i="5"/>
  <c r="H234" i="5"/>
  <c r="H181" i="5"/>
  <c r="H255" i="5"/>
  <c r="H108" i="5"/>
  <c r="H133" i="5"/>
  <c r="I275" i="5"/>
  <c r="I157" i="5"/>
  <c r="I93" i="5"/>
  <c r="I182" i="5"/>
  <c r="I217" i="5"/>
  <c r="I161" i="5"/>
  <c r="H256" i="5"/>
  <c r="H262" i="5"/>
  <c r="H179" i="5"/>
  <c r="I236" i="5"/>
  <c r="H193" i="5"/>
  <c r="I125" i="5"/>
  <c r="I271" i="5"/>
  <c r="H266" i="5"/>
  <c r="H156" i="5"/>
  <c r="I202" i="5"/>
  <c r="H105" i="5"/>
  <c r="I208" i="5"/>
  <c r="I206" i="5"/>
  <c r="H258" i="5"/>
  <c r="H154" i="5"/>
  <c r="I210" i="5"/>
  <c r="I204" i="5"/>
  <c r="I143" i="5"/>
  <c r="H65" i="5"/>
  <c r="H158" i="5"/>
  <c r="I94" i="5"/>
  <c r="I134" i="5"/>
  <c r="I168" i="5"/>
  <c r="H139" i="5"/>
  <c r="I23" i="5"/>
  <c r="I41" i="5"/>
  <c r="I149" i="5"/>
  <c r="I276" i="5"/>
  <c r="I88" i="5"/>
  <c r="I69" i="5"/>
  <c r="H78" i="5"/>
  <c r="H59" i="5"/>
  <c r="H159" i="5"/>
  <c r="H14" i="5"/>
  <c r="I18" i="5"/>
  <c r="I131" i="5"/>
  <c r="H163" i="5"/>
  <c r="H45" i="5"/>
  <c r="I85" i="5"/>
  <c r="I95" i="5"/>
  <c r="H269" i="5"/>
  <c r="I191" i="5"/>
  <c r="I127" i="5"/>
  <c r="I148" i="5"/>
  <c r="H56" i="5"/>
  <c r="H277" i="5"/>
  <c r="H96" i="5"/>
  <c r="H129" i="5"/>
  <c r="I144" i="5"/>
  <c r="I136" i="5"/>
  <c r="I110" i="5"/>
  <c r="I115" i="5"/>
  <c r="H66" i="5"/>
  <c r="H87" i="5"/>
  <c r="H74" i="5"/>
  <c r="I38" i="5"/>
  <c r="I15" i="5"/>
  <c r="H169" i="5"/>
  <c r="H49" i="5"/>
  <c r="I40" i="5"/>
  <c r="H68" i="5"/>
  <c r="H239" i="5"/>
  <c r="I67" i="5"/>
  <c r="I8" i="5"/>
  <c r="H176" i="5"/>
  <c r="H86" i="5"/>
  <c r="H75" i="5"/>
  <c r="H80" i="5"/>
  <c r="I151" i="5"/>
  <c r="H137" i="5"/>
  <c r="H145" i="5"/>
  <c r="H111" i="5"/>
  <c r="I114" i="5"/>
  <c r="I212" i="5"/>
  <c r="I109" i="5"/>
  <c r="I51" i="5"/>
  <c r="I31" i="5"/>
  <c r="I187" i="5"/>
  <c r="I130" i="5"/>
  <c r="H164" i="5"/>
  <c r="I162" i="5"/>
  <c r="I135" i="5"/>
  <c r="H140" i="5"/>
  <c r="H177" i="5"/>
  <c r="I128" i="5"/>
  <c r="I60" i="5"/>
  <c r="I238" i="5"/>
  <c r="I52" i="5"/>
  <c r="H24" i="5"/>
  <c r="H259" i="5"/>
  <c r="H116" i="5"/>
  <c r="H274" i="5"/>
  <c r="I9" i="5"/>
  <c r="H92" i="5"/>
  <c r="H42" i="5"/>
  <c r="I70" i="5"/>
  <c r="I152" i="5"/>
  <c r="H112" i="5"/>
  <c r="I199" i="5"/>
  <c r="I241" i="5"/>
  <c r="I101" i="5"/>
  <c r="H267" i="5"/>
  <c r="H201" i="5"/>
  <c r="I216" i="5"/>
  <c r="H265" i="5"/>
  <c r="H99" i="5"/>
  <c r="H185" i="5"/>
  <c r="H263" i="5"/>
  <c r="H261" i="5"/>
  <c r="I171" i="5"/>
  <c r="H57" i="5"/>
  <c r="H73" i="5"/>
  <c r="H22" i="5"/>
  <c r="I37" i="5"/>
  <c r="I64" i="5"/>
  <c r="H28" i="5"/>
  <c r="I97" i="5"/>
  <c r="H89" i="5"/>
  <c r="H13" i="5"/>
  <c r="H83" i="5"/>
  <c r="I235" i="5"/>
  <c r="H235" i="5"/>
  <c r="H273" i="5"/>
  <c r="I273" i="5"/>
  <c r="H184" i="5"/>
  <c r="I184" i="5"/>
  <c r="H190" i="5"/>
  <c r="I190" i="5"/>
  <c r="H10" i="5"/>
  <c r="I10" i="5"/>
  <c r="H63" i="5"/>
  <c r="I63" i="5"/>
  <c r="I17" i="5"/>
  <c r="H17" i="5"/>
  <c r="I172" i="5"/>
  <c r="H172" i="5"/>
  <c r="I165" i="5"/>
  <c r="H165" i="5"/>
  <c r="H30" i="5"/>
  <c r="I30" i="5"/>
  <c r="H55" i="5"/>
  <c r="I55" i="5"/>
  <c r="I47" i="5"/>
  <c r="H47" i="5"/>
  <c r="I142" i="5"/>
  <c r="H142" i="5"/>
  <c r="H11" i="5"/>
  <c r="I11" i="5"/>
  <c r="I46" i="5"/>
  <c r="H46" i="5"/>
  <c r="I82" i="5"/>
  <c r="H82" i="5"/>
  <c r="I211" i="5"/>
  <c r="I260" i="5"/>
  <c r="H16" i="5"/>
  <c r="I16" i="5"/>
  <c r="I173" i="5"/>
  <c r="I268" i="5"/>
  <c r="H32" i="5"/>
  <c r="I32" i="5"/>
  <c r="H43" i="5"/>
  <c r="H77" i="5"/>
  <c r="I77" i="5"/>
  <c r="I102" i="5"/>
  <c r="H102" i="5"/>
  <c r="I167" i="5"/>
  <c r="H167" i="5"/>
  <c r="I186" i="5"/>
  <c r="H186" i="5"/>
  <c r="I270" i="5"/>
  <c r="H270" i="5"/>
  <c r="I26" i="5"/>
  <c r="H26" i="5"/>
  <c r="I50" i="5"/>
  <c r="H50" i="5"/>
  <c r="H58" i="5"/>
  <c r="H138" i="5"/>
  <c r="I138" i="5"/>
  <c r="I27" i="5"/>
  <c r="H27" i="5"/>
  <c r="I103" i="5"/>
  <c r="H98" i="5"/>
  <c r="I98" i="5"/>
  <c r="H79" i="5"/>
  <c r="I79" i="5"/>
  <c r="H29" i="5"/>
  <c r="I81" i="5"/>
  <c r="H81" i="5"/>
  <c r="H183" i="5"/>
  <c r="I196" i="5"/>
  <c r="H196" i="5"/>
  <c r="Q40" i="7"/>
  <c r="G68" i="7"/>
  <c r="F68" i="7" s="1"/>
  <c r="E68" i="7" s="1"/>
  <c r="D68" i="7" s="1"/>
  <c r="Q68" i="7" s="1"/>
  <c r="G8" i="16"/>
  <c r="F8" i="16" s="1"/>
  <c r="G11" i="16"/>
  <c r="F11" i="16" s="1"/>
  <c r="H16" i="16"/>
  <c r="F16" i="16" s="1"/>
  <c r="E16" i="16" s="1"/>
  <c r="D16" i="16" s="1"/>
  <c r="Q16" i="16" s="1"/>
  <c r="G17" i="16"/>
  <c r="F17" i="16" s="1"/>
  <c r="E17" i="16" s="1"/>
  <c r="D17" i="16" s="1"/>
  <c r="Q17" i="16" s="1"/>
  <c r="I19" i="16"/>
  <c r="G10" i="16"/>
  <c r="I18" i="16"/>
  <c r="I11" i="16"/>
  <c r="H60" i="16"/>
  <c r="I64" i="16"/>
  <c r="I58" i="16"/>
  <c r="G61" i="16"/>
  <c r="F61" i="16" s="1"/>
  <c r="I56" i="16"/>
  <c r="G59" i="16"/>
  <c r="F59" i="16" s="1"/>
  <c r="E59" i="16" s="1"/>
  <c r="D59" i="16" s="1"/>
  <c r="Q59" i="16" s="1"/>
  <c r="I63" i="16"/>
  <c r="I62" i="16"/>
  <c r="I61" i="16"/>
  <c r="H42" i="16"/>
  <c r="G43" i="16"/>
  <c r="F43" i="16" s="1"/>
  <c r="H46" i="16"/>
  <c r="H50" i="16"/>
  <c r="I44" i="16"/>
  <c r="I43" i="16"/>
  <c r="I47" i="16"/>
  <c r="I51" i="16"/>
  <c r="G44" i="16"/>
  <c r="F44" i="16" s="1"/>
  <c r="G48" i="16"/>
  <c r="F48" i="16" s="1"/>
  <c r="E48" i="16" s="1"/>
  <c r="D48" i="16" s="1"/>
  <c r="Q48" i="16" s="1"/>
  <c r="I13" i="16"/>
  <c r="I8" i="16"/>
  <c r="I12" i="16"/>
  <c r="G9" i="16"/>
  <c r="G124" i="16"/>
  <c r="F124" i="16" s="1"/>
  <c r="E124" i="16" s="1"/>
  <c r="D124" i="16" s="1"/>
  <c r="Q124" i="16" s="1"/>
  <c r="G84" i="16"/>
  <c r="F84" i="16" s="1"/>
  <c r="G13" i="16"/>
  <c r="F13" i="16" s="1"/>
  <c r="G180" i="16"/>
  <c r="F180" i="16" s="1"/>
  <c r="G183" i="16"/>
  <c r="F183" i="16" s="1"/>
  <c r="G185" i="16"/>
  <c r="F185" i="16" s="1"/>
  <c r="E185" i="16" s="1"/>
  <c r="D185" i="16" s="1"/>
  <c r="Q185" i="16" s="1"/>
  <c r="G187" i="16"/>
  <c r="F187" i="16" s="1"/>
  <c r="E187" i="16" s="1"/>
  <c r="D187" i="16" s="1"/>
  <c r="Q187" i="16" s="1"/>
  <c r="G189" i="16"/>
  <c r="F189" i="16" s="1"/>
  <c r="E189" i="16" s="1"/>
  <c r="D189" i="16" s="1"/>
  <c r="Q189" i="16" s="1"/>
  <c r="G191" i="16"/>
  <c r="G193" i="16"/>
  <c r="F193" i="16" s="1"/>
  <c r="E193" i="16" s="1"/>
  <c r="D193" i="16" s="1"/>
  <c r="Q193" i="16" s="1"/>
  <c r="G68" i="16"/>
  <c r="F68" i="16" s="1"/>
  <c r="E68" i="16" s="1"/>
  <c r="D68" i="16" s="1"/>
  <c r="Q68" i="16" s="1"/>
  <c r="G99" i="16"/>
  <c r="F99" i="16" s="1"/>
  <c r="E99" i="16" s="1"/>
  <c r="D99" i="16" s="1"/>
  <c r="Q99" i="16" s="1"/>
  <c r="G101" i="16"/>
  <c r="F101" i="16" s="1"/>
  <c r="E101" i="16" s="1"/>
  <c r="D101" i="16" s="1"/>
  <c r="Q101" i="16" s="1"/>
  <c r="G103" i="16"/>
  <c r="F103" i="16" s="1"/>
  <c r="E103" i="16" s="1"/>
  <c r="D103" i="16" s="1"/>
  <c r="Q103" i="16" s="1"/>
  <c r="G105" i="16"/>
  <c r="F105" i="16" s="1"/>
  <c r="E105" i="16" s="1"/>
  <c r="D105" i="16" s="1"/>
  <c r="Q105" i="16" s="1"/>
  <c r="G107" i="16"/>
  <c r="F107" i="16" s="1"/>
  <c r="E107" i="16" s="1"/>
  <c r="D107" i="16" s="1"/>
  <c r="Q107" i="16" s="1"/>
  <c r="G109" i="16"/>
  <c r="F109" i="16" s="1"/>
  <c r="E109" i="16" s="1"/>
  <c r="D109" i="16" s="1"/>
  <c r="Q109" i="16" s="1"/>
  <c r="Q129" i="16"/>
  <c r="G53" i="16"/>
  <c r="F53" i="16" s="1"/>
  <c r="E53" i="16" s="1"/>
  <c r="D53" i="16" s="1"/>
  <c r="Q53" i="16" s="1"/>
  <c r="G71" i="16"/>
  <c r="F71" i="16" s="1"/>
  <c r="E71" i="16" s="1"/>
  <c r="D71" i="16" s="1"/>
  <c r="Q71" i="16" s="1"/>
  <c r="G54" i="16"/>
  <c r="F54" i="16" s="1"/>
  <c r="G73" i="16"/>
  <c r="F73" i="16" s="1"/>
  <c r="E73" i="16" s="1"/>
  <c r="D73" i="16" s="1"/>
  <c r="Q73" i="16" s="1"/>
  <c r="G75" i="16"/>
  <c r="F75" i="16" s="1"/>
  <c r="E75" i="16" s="1"/>
  <c r="D75" i="16" s="1"/>
  <c r="Q75" i="16" s="1"/>
  <c r="G77" i="16"/>
  <c r="F77" i="16" s="1"/>
  <c r="E77" i="16" s="1"/>
  <c r="D77" i="16" s="1"/>
  <c r="Q77" i="16" s="1"/>
  <c r="G79" i="16"/>
  <c r="F79" i="16" s="1"/>
  <c r="E79" i="16" s="1"/>
  <c r="D79" i="16" s="1"/>
  <c r="Q79" i="16" s="1"/>
  <c r="G81" i="16"/>
  <c r="F81" i="16" s="1"/>
  <c r="E81" i="16" s="1"/>
  <c r="D81" i="16" s="1"/>
  <c r="Q81" i="16" s="1"/>
  <c r="Q156" i="16"/>
  <c r="G126" i="16"/>
  <c r="F126" i="16" s="1"/>
  <c r="E126" i="16" s="1"/>
  <c r="D126" i="16" s="1"/>
  <c r="Q126" i="16" s="1"/>
  <c r="H7" i="16"/>
  <c r="F7" i="16" s="1"/>
  <c r="E7" i="16" s="1"/>
  <c r="D7" i="16" s="1"/>
  <c r="Q7" i="16" s="1"/>
  <c r="F45" i="16" l="1"/>
  <c r="E45" i="16" s="1"/>
  <c r="D45" i="16" s="1"/>
  <c r="Q45" i="16" s="1"/>
  <c r="E196" i="16"/>
  <c r="D196" i="16" s="1"/>
  <c r="Q196" i="16" s="1"/>
  <c r="F166" i="16"/>
  <c r="E166" i="16" s="1"/>
  <c r="D166" i="16" s="1"/>
  <c r="Q166" i="16" s="1"/>
  <c r="F158" i="16"/>
  <c r="E158" i="16" s="1"/>
  <c r="D158" i="16" s="1"/>
  <c r="Q158" i="16" s="1"/>
  <c r="E177" i="16"/>
  <c r="D177" i="16" s="1"/>
  <c r="Q177" i="16" s="1"/>
  <c r="E141" i="16"/>
  <c r="D141" i="16" s="1"/>
  <c r="Q141" i="16" s="1"/>
  <c r="E173" i="16"/>
  <c r="D173" i="16" s="1"/>
  <c r="Q173" i="16" s="1"/>
  <c r="F136" i="16"/>
  <c r="E136" i="16" s="1"/>
  <c r="D136" i="16" s="1"/>
  <c r="Q136" i="16" s="1"/>
  <c r="E95" i="16"/>
  <c r="D95" i="16" s="1"/>
  <c r="Q95" i="16" s="1"/>
  <c r="E200" i="16"/>
  <c r="D200" i="16" s="1"/>
  <c r="Q200" i="16" s="1"/>
  <c r="F42" i="16"/>
  <c r="E42" i="16" s="1"/>
  <c r="D42" i="16" s="1"/>
  <c r="Q42" i="16" s="1"/>
  <c r="E58" i="16"/>
  <c r="D58" i="16" s="1"/>
  <c r="Q58" i="16" s="1"/>
  <c r="E113" i="16"/>
  <c r="D113" i="16" s="1"/>
  <c r="Q113" i="16" s="1"/>
  <c r="E208" i="16"/>
  <c r="D208" i="16" s="1"/>
  <c r="Q208" i="16" s="1"/>
  <c r="F60" i="16"/>
  <c r="E60" i="16" s="1"/>
  <c r="D60" i="16" s="1"/>
  <c r="Q60" i="16" s="1"/>
  <c r="E56" i="16"/>
  <c r="D56" i="16" s="1"/>
  <c r="Q56" i="16" s="1"/>
  <c r="E51" i="16"/>
  <c r="D51" i="16" s="1"/>
  <c r="Q51" i="16" s="1"/>
  <c r="E57" i="16"/>
  <c r="D57" i="16" s="1"/>
  <c r="Q57" i="16" s="1"/>
  <c r="E203" i="16"/>
  <c r="D203" i="16" s="1"/>
  <c r="Q203" i="16" s="1"/>
  <c r="E199" i="16"/>
  <c r="D199" i="16" s="1"/>
  <c r="Q199" i="16" s="1"/>
  <c r="G87" i="11"/>
  <c r="F87" i="11" s="1"/>
  <c r="E87" i="11" s="1"/>
  <c r="D87" i="11" s="1"/>
  <c r="Q87" i="11"/>
  <c r="Q70" i="14"/>
  <c r="G70" i="14"/>
  <c r="F70" i="14" s="1"/>
  <c r="E70" i="14" s="1"/>
  <c r="D70" i="14" s="1"/>
  <c r="G117" i="10"/>
  <c r="F117" i="10" s="1"/>
  <c r="E117" i="10" s="1"/>
  <c r="D117" i="10" s="1"/>
  <c r="Q117" i="10"/>
  <c r="G89" i="10"/>
  <c r="F89" i="10" s="1"/>
  <c r="E89" i="10" s="1"/>
  <c r="D89" i="10" s="1"/>
  <c r="Q89" i="10" s="1"/>
  <c r="E84" i="16"/>
  <c r="D84" i="16" s="1"/>
  <c r="Q84" i="16" s="1"/>
  <c r="E43" i="16"/>
  <c r="D43" i="16" s="1"/>
  <c r="Q43" i="16" s="1"/>
  <c r="E155" i="16"/>
  <c r="D155" i="16" s="1"/>
  <c r="Q155" i="16" s="1"/>
  <c r="F91" i="16"/>
  <c r="E91" i="16" s="1"/>
  <c r="D91" i="16" s="1"/>
  <c r="Q91" i="16" s="1"/>
  <c r="G120" i="10"/>
  <c r="F120" i="10" s="1"/>
  <c r="E120" i="10" s="1"/>
  <c r="D120" i="10" s="1"/>
  <c r="Q120" i="10" s="1"/>
  <c r="G99" i="10"/>
  <c r="F99" i="10" s="1"/>
  <c r="E99" i="10" s="1"/>
  <c r="D99" i="10" s="1"/>
  <c r="Q99" i="10" s="1"/>
  <c r="F56" i="11"/>
  <c r="E56" i="11" s="1"/>
  <c r="D56" i="11" s="1"/>
  <c r="Q56" i="11" s="1"/>
  <c r="E28" i="11"/>
  <c r="D28" i="11" s="1"/>
  <c r="Q28" i="11" s="1"/>
  <c r="E129" i="10"/>
  <c r="D129" i="10" s="1"/>
  <c r="Q129" i="10" s="1"/>
  <c r="E54" i="16"/>
  <c r="D54" i="16" s="1"/>
  <c r="Q54" i="16" s="1"/>
  <c r="F191" i="16"/>
  <c r="E191" i="16" s="1"/>
  <c r="D191" i="16" s="1"/>
  <c r="Q191" i="16" s="1"/>
  <c r="E183" i="16"/>
  <c r="D183" i="16" s="1"/>
  <c r="Q183" i="16" s="1"/>
  <c r="F50" i="16"/>
  <c r="E50" i="16" s="1"/>
  <c r="D50" i="16" s="1"/>
  <c r="Q50" i="16" s="1"/>
  <c r="E8" i="16"/>
  <c r="D8" i="16" s="1"/>
  <c r="Q8" i="16" s="1"/>
  <c r="F169" i="16"/>
  <c r="E169" i="16" s="1"/>
  <c r="D169" i="16" s="1"/>
  <c r="Q169" i="16" s="1"/>
  <c r="F150" i="16"/>
  <c r="E150" i="16" s="1"/>
  <c r="D150" i="16" s="1"/>
  <c r="Q150" i="16" s="1"/>
  <c r="F110" i="16"/>
  <c r="E110" i="16" s="1"/>
  <c r="D110" i="16" s="1"/>
  <c r="Q110" i="16" s="1"/>
  <c r="F87" i="16"/>
  <c r="E87" i="16" s="1"/>
  <c r="D87" i="16" s="1"/>
  <c r="Q87" i="16" s="1"/>
  <c r="E98" i="16"/>
  <c r="D98" i="16" s="1"/>
  <c r="Q98" i="16" s="1"/>
  <c r="F74" i="16"/>
  <c r="E74" i="16" s="1"/>
  <c r="D74" i="16" s="1"/>
  <c r="Q74" i="16" s="1"/>
  <c r="G88" i="10"/>
  <c r="F88" i="10" s="1"/>
  <c r="E88" i="10" s="1"/>
  <c r="D88" i="10" s="1"/>
  <c r="Q88" i="10" s="1"/>
  <c r="G122" i="10"/>
  <c r="F122" i="10" s="1"/>
  <c r="E122" i="10" s="1"/>
  <c r="D122" i="10" s="1"/>
  <c r="Q122" i="10" s="1"/>
  <c r="G108" i="10"/>
  <c r="F108" i="10" s="1"/>
  <c r="E108" i="10" s="1"/>
  <c r="D108" i="10" s="1"/>
  <c r="Q108" i="10"/>
  <c r="G127" i="10"/>
  <c r="F127" i="10" s="1"/>
  <c r="E127" i="10" s="1"/>
  <c r="D127" i="10" s="1"/>
  <c r="Q127" i="10"/>
  <c r="E24" i="14"/>
  <c r="D24" i="14" s="1"/>
  <c r="Q24" i="14" s="1"/>
  <c r="Q78" i="10"/>
  <c r="Q75" i="14"/>
  <c r="F46" i="16"/>
  <c r="E46" i="16" s="1"/>
  <c r="D46" i="16" s="1"/>
  <c r="Q46" i="16" s="1"/>
  <c r="G16" i="10"/>
  <c r="F16" i="10" s="1"/>
  <c r="E16" i="10" s="1"/>
  <c r="D16" i="10" s="1"/>
  <c r="Q16" i="10" s="1"/>
  <c r="Q112" i="10"/>
  <c r="G112" i="10"/>
  <c r="F112" i="10" s="1"/>
  <c r="E112" i="10" s="1"/>
  <c r="D112" i="10" s="1"/>
  <c r="Q71" i="14"/>
  <c r="E53" i="14"/>
  <c r="D53" i="14" s="1"/>
  <c r="Q53" i="14" s="1"/>
  <c r="E115" i="16"/>
  <c r="D115" i="16" s="1"/>
  <c r="Q115" i="16" s="1"/>
  <c r="F102" i="16"/>
  <c r="E102" i="16" s="1"/>
  <c r="D102" i="16" s="1"/>
  <c r="Q102" i="16" s="1"/>
  <c r="G74" i="14"/>
  <c r="F74" i="14" s="1"/>
  <c r="E74" i="14" s="1"/>
  <c r="D74" i="14" s="1"/>
  <c r="Q74" i="14" s="1"/>
  <c r="G81" i="10"/>
  <c r="F81" i="10" s="1"/>
  <c r="E81" i="10" s="1"/>
  <c r="D81" i="10" s="1"/>
  <c r="Q81" i="10" s="1"/>
  <c r="Q23" i="10"/>
  <c r="G23" i="10"/>
  <c r="F23" i="10" s="1"/>
  <c r="E23" i="10" s="1"/>
  <c r="D23" i="10" s="1"/>
  <c r="G115" i="10"/>
  <c r="F115" i="10" s="1"/>
  <c r="E115" i="10" s="1"/>
  <c r="D115" i="10" s="1"/>
  <c r="Q115" i="10" s="1"/>
  <c r="E180" i="16"/>
  <c r="D180" i="16" s="1"/>
  <c r="Q180" i="16" s="1"/>
  <c r="F9" i="16"/>
  <c r="E9" i="16" s="1"/>
  <c r="D9" i="16" s="1"/>
  <c r="Q9" i="16" s="1"/>
  <c r="F10" i="16"/>
  <c r="E10" i="16" s="1"/>
  <c r="D10" i="16" s="1"/>
  <c r="Q10" i="16" s="1"/>
  <c r="F186" i="16"/>
  <c r="E186" i="16" s="1"/>
  <c r="D186" i="16" s="1"/>
  <c r="Q186" i="16" s="1"/>
  <c r="F168" i="16"/>
  <c r="E168" i="16" s="1"/>
  <c r="D168" i="16" s="1"/>
  <c r="Q168" i="16" s="1"/>
  <c r="F116" i="16"/>
  <c r="E116" i="16" s="1"/>
  <c r="D116" i="16" s="1"/>
  <c r="Q116" i="16" s="1"/>
  <c r="E163" i="16"/>
  <c r="D163" i="16" s="1"/>
  <c r="Q163" i="16" s="1"/>
  <c r="E146" i="16"/>
  <c r="D146" i="16" s="1"/>
  <c r="Q146" i="16" s="1"/>
  <c r="E96" i="16"/>
  <c r="D96" i="16" s="1"/>
  <c r="Q96" i="16" s="1"/>
  <c r="F82" i="16"/>
  <c r="E82" i="16" s="1"/>
  <c r="D82" i="16" s="1"/>
  <c r="Q82" i="16" s="1"/>
  <c r="F112" i="16"/>
  <c r="E112" i="16" s="1"/>
  <c r="D112" i="16" s="1"/>
  <c r="Q112" i="16" s="1"/>
  <c r="F70" i="16"/>
  <c r="E70" i="16" s="1"/>
  <c r="D70" i="16" s="1"/>
  <c r="Q70" i="16" s="1"/>
  <c r="F159" i="7"/>
  <c r="E159" i="7" s="1"/>
  <c r="D159" i="7" s="1"/>
  <c r="Q159" i="7" s="1"/>
  <c r="E77" i="14"/>
  <c r="D77" i="14" s="1"/>
  <c r="Q77" i="14" s="1"/>
  <c r="G66" i="14"/>
  <c r="F66" i="14" s="1"/>
  <c r="E66" i="14" s="1"/>
  <c r="D66" i="14" s="1"/>
  <c r="Q66" i="14"/>
  <c r="Q67" i="14"/>
  <c r="G67" i="14"/>
  <c r="F67" i="14" s="1"/>
  <c r="E67" i="14" s="1"/>
  <c r="D67" i="14" s="1"/>
  <c r="E80" i="14"/>
  <c r="D80" i="14" s="1"/>
  <c r="Q80" i="14" s="1"/>
  <c r="G100" i="10"/>
  <c r="F100" i="10" s="1"/>
  <c r="E100" i="10" s="1"/>
  <c r="D100" i="10" s="1"/>
  <c r="Q100" i="10"/>
  <c r="G10" i="10"/>
  <c r="F10" i="10" s="1"/>
  <c r="E10" i="10" s="1"/>
  <c r="D10" i="10" s="1"/>
  <c r="Q10" i="10"/>
  <c r="G67" i="10"/>
  <c r="F67" i="10" s="1"/>
  <c r="E67" i="10" s="1"/>
  <c r="D67" i="10" s="1"/>
  <c r="Q67" i="10"/>
  <c r="G111" i="10"/>
  <c r="F111" i="10" s="1"/>
  <c r="E111" i="10" s="1"/>
  <c r="D111" i="10" s="1"/>
  <c r="Q111" i="10"/>
  <c r="E101" i="11"/>
  <c r="D101" i="11" s="1"/>
  <c r="Q101" i="11" s="1"/>
  <c r="F23" i="7"/>
  <c r="E23" i="7" s="1"/>
  <c r="D23" i="7" s="1"/>
  <c r="Q23" i="7" s="1"/>
  <c r="E125" i="10"/>
  <c r="D125" i="10" s="1"/>
  <c r="Q125" i="10" s="1"/>
  <c r="F72" i="11"/>
  <c r="E72" i="11" s="1"/>
  <c r="D72" i="11" s="1"/>
  <c r="Q72" i="11" s="1"/>
  <c r="E87" i="10"/>
  <c r="D87" i="10" s="1"/>
  <c r="Q87" i="10" s="1"/>
  <c r="Q45" i="10"/>
  <c r="F256" i="5"/>
  <c r="E256" i="5" s="1"/>
  <c r="D256" i="5" s="1"/>
  <c r="Q256" i="5" s="1"/>
  <c r="S256" i="5" s="1"/>
  <c r="F129" i="5"/>
  <c r="E129" i="5" s="1"/>
  <c r="D129" i="5" s="1"/>
  <c r="Q129" i="5" s="1"/>
  <c r="S129" i="5" s="1"/>
  <c r="F274" i="5"/>
  <c r="E274" i="5" s="1"/>
  <c r="D274" i="5" s="1"/>
  <c r="Q274" i="5" s="1"/>
  <c r="S274" i="5" s="1"/>
  <c r="F239" i="5"/>
  <c r="E239" i="5" s="1"/>
  <c r="D239" i="5" s="1"/>
  <c r="Q239" i="5" s="1"/>
  <c r="S239" i="5" s="1"/>
  <c r="F258" i="5"/>
  <c r="E258" i="5" s="1"/>
  <c r="D258" i="5" s="1"/>
  <c r="Q258" i="5" s="1"/>
  <c r="S258" i="5" s="1"/>
  <c r="F269" i="5"/>
  <c r="E269" i="5" s="1"/>
  <c r="D269" i="5" s="1"/>
  <c r="Q269" i="5" s="1"/>
  <c r="S269" i="5" s="1"/>
  <c r="F262" i="5"/>
  <c r="E262" i="5" s="1"/>
  <c r="D262" i="5" s="1"/>
  <c r="Q262" i="5" s="1"/>
  <c r="S262" i="5" s="1"/>
  <c r="F24" i="5"/>
  <c r="E24" i="5" s="1"/>
  <c r="D24" i="5" s="1"/>
  <c r="Q24" i="5" s="1"/>
  <c r="F77" i="5"/>
  <c r="E77" i="5" s="1"/>
  <c r="D77" i="5" s="1"/>
  <c r="Q77" i="5" s="1"/>
  <c r="F158" i="5"/>
  <c r="E158" i="5" s="1"/>
  <c r="D158" i="5" s="1"/>
  <c r="Q158" i="5" s="1"/>
  <c r="S158" i="5" s="1"/>
  <c r="F277" i="5"/>
  <c r="E277" i="5" s="1"/>
  <c r="D277" i="5" s="1"/>
  <c r="Q277" i="5" s="1"/>
  <c r="S277" i="5" s="1"/>
  <c r="F43" i="5"/>
  <c r="E43" i="5" s="1"/>
  <c r="D43" i="5" s="1"/>
  <c r="Q43" i="5" s="1"/>
  <c r="F273" i="5"/>
  <c r="E273" i="5" s="1"/>
  <c r="D273" i="5" s="1"/>
  <c r="Q273" i="5" s="1"/>
  <c r="S273" i="5" s="1"/>
  <c r="F266" i="5"/>
  <c r="E266" i="5" s="1"/>
  <c r="D266" i="5" s="1"/>
  <c r="Q266" i="5" s="1"/>
  <c r="S266" i="5" s="1"/>
  <c r="F264" i="5"/>
  <c r="E264" i="5" s="1"/>
  <c r="D264" i="5" s="1"/>
  <c r="Q264" i="5" s="1"/>
  <c r="S264" i="5" s="1"/>
  <c r="F139" i="5"/>
  <c r="E139" i="5" s="1"/>
  <c r="D139" i="5" s="1"/>
  <c r="Q139" i="5" s="1"/>
  <c r="F184" i="5"/>
  <c r="E184" i="5" s="1"/>
  <c r="D184" i="5" s="1"/>
  <c r="Q184" i="5" s="1"/>
  <c r="F141" i="5"/>
  <c r="E141" i="5" s="1"/>
  <c r="D141" i="5" s="1"/>
  <c r="Q141" i="5" s="1"/>
  <c r="F79" i="5"/>
  <c r="E79" i="5" s="1"/>
  <c r="D79" i="5" s="1"/>
  <c r="Q79" i="5" s="1"/>
  <c r="F81" i="5"/>
  <c r="E81" i="5" s="1"/>
  <c r="D81" i="5" s="1"/>
  <c r="Q81" i="5" s="1"/>
  <c r="F177" i="5"/>
  <c r="E177" i="5" s="1"/>
  <c r="D177" i="5" s="1"/>
  <c r="Q177" i="5" s="1"/>
  <c r="S177" i="5" s="1"/>
  <c r="F80" i="5"/>
  <c r="E80" i="5" s="1"/>
  <c r="D80" i="5" s="1"/>
  <c r="Q80" i="5" s="1"/>
  <c r="S80" i="5" s="1"/>
  <c r="F165" i="5"/>
  <c r="E165" i="5" s="1"/>
  <c r="D165" i="5" s="1"/>
  <c r="Q165" i="5" s="1"/>
  <c r="E243" i="5"/>
  <c r="D243" i="5" s="1"/>
  <c r="Q243" i="5" s="1"/>
  <c r="S243" i="5" s="1"/>
  <c r="F250" i="5"/>
  <c r="E250" i="5" s="1"/>
  <c r="D250" i="5" s="1"/>
  <c r="Q250" i="5" s="1"/>
  <c r="S250" i="5" s="1"/>
  <c r="F145" i="5"/>
  <c r="E145" i="5" s="1"/>
  <c r="D145" i="5" s="1"/>
  <c r="Q145" i="5" s="1"/>
  <c r="F10" i="5"/>
  <c r="E10" i="5" s="1"/>
  <c r="D10" i="5" s="1"/>
  <c r="Q10" i="5" s="1"/>
  <c r="F183" i="5"/>
  <c r="E183" i="5" s="1"/>
  <c r="D183" i="5" s="1"/>
  <c r="Q183" i="5" s="1"/>
  <c r="F30" i="5"/>
  <c r="E30" i="5" s="1"/>
  <c r="D30" i="5" s="1"/>
  <c r="Q30" i="5" s="1"/>
  <c r="F59" i="5"/>
  <c r="E59" i="5" s="1"/>
  <c r="D59" i="5" s="1"/>
  <c r="Q59" i="5" s="1"/>
  <c r="F140" i="5"/>
  <c r="E140" i="5" s="1"/>
  <c r="D140" i="5" s="1"/>
  <c r="Q140" i="5" s="1"/>
  <c r="F163" i="5"/>
  <c r="E163" i="5" s="1"/>
  <c r="D163" i="5" s="1"/>
  <c r="Q163" i="5" s="1"/>
  <c r="S163" i="5" s="1"/>
  <c r="F50" i="5"/>
  <c r="E50" i="5" s="1"/>
  <c r="D50" i="5" s="1"/>
  <c r="Q50" i="5" s="1"/>
  <c r="F138" i="5"/>
  <c r="E138" i="5" s="1"/>
  <c r="D138" i="5" s="1"/>
  <c r="Q138" i="5" s="1"/>
  <c r="F235" i="5"/>
  <c r="E235" i="5" s="1"/>
  <c r="D235" i="5" s="1"/>
  <c r="Q235" i="5" s="1"/>
  <c r="F35" i="5"/>
  <c r="E35" i="5" s="1"/>
  <c r="D35" i="5" s="1"/>
  <c r="Q35" i="5" s="1"/>
  <c r="E245" i="5"/>
  <c r="D245" i="5" s="1"/>
  <c r="Q245" i="5" s="1"/>
  <c r="S245" i="5" s="1"/>
  <c r="F169" i="5"/>
  <c r="E169" i="5" s="1"/>
  <c r="D169" i="5" s="1"/>
  <c r="Q169" i="5" s="1"/>
  <c r="F193" i="5"/>
  <c r="E193" i="5" s="1"/>
  <c r="D193" i="5" s="1"/>
  <c r="Q193" i="5" s="1"/>
  <c r="S193" i="5" s="1"/>
  <c r="F185" i="5"/>
  <c r="E185" i="5" s="1"/>
  <c r="D185" i="5" s="1"/>
  <c r="Q185" i="5" s="1"/>
  <c r="F98" i="5"/>
  <c r="E98" i="5" s="1"/>
  <c r="D98" i="5" s="1"/>
  <c r="Q98" i="5" s="1"/>
  <c r="S98" i="5" s="1"/>
  <c r="F11" i="5"/>
  <c r="E11" i="5" s="1"/>
  <c r="D11" i="5" s="1"/>
  <c r="Q11" i="5" s="1"/>
  <c r="F16" i="5"/>
  <c r="E16" i="5" s="1"/>
  <c r="D16" i="5" s="1"/>
  <c r="Q16" i="5" s="1"/>
  <c r="F32" i="5"/>
  <c r="E32" i="5" s="1"/>
  <c r="D32" i="5" s="1"/>
  <c r="Q32" i="5" s="1"/>
  <c r="F46" i="5"/>
  <c r="E46" i="5" s="1"/>
  <c r="D46" i="5" s="1"/>
  <c r="Q46" i="5" s="1"/>
  <c r="F167" i="5"/>
  <c r="E167" i="5" s="1"/>
  <c r="D167" i="5" s="1"/>
  <c r="Q167" i="5" s="1"/>
  <c r="F164" i="5"/>
  <c r="E164" i="5" s="1"/>
  <c r="D164" i="5" s="1"/>
  <c r="Q164" i="5" s="1"/>
  <c r="S164" i="5" s="1"/>
  <c r="F89" i="5"/>
  <c r="E89" i="5" s="1"/>
  <c r="D89" i="5" s="1"/>
  <c r="Q89" i="5" s="1"/>
  <c r="F155" i="5"/>
  <c r="E155" i="5" s="1"/>
  <c r="D155" i="5" s="1"/>
  <c r="Q155" i="5" s="1"/>
  <c r="S155" i="5" s="1"/>
  <c r="F12" i="5"/>
  <c r="E12" i="5" s="1"/>
  <c r="D12" i="5" s="1"/>
  <c r="Q12" i="5" s="1"/>
  <c r="F244" i="5"/>
  <c r="E244" i="5" s="1"/>
  <c r="D244" i="5" s="1"/>
  <c r="Q244" i="5" s="1"/>
  <c r="S244" i="5" s="1"/>
  <c r="F181" i="5"/>
  <c r="E181" i="5" s="1"/>
  <c r="D181" i="5" s="1"/>
  <c r="Q181" i="5" s="1"/>
  <c r="F133" i="5"/>
  <c r="E133" i="5" s="1"/>
  <c r="D133" i="5" s="1"/>
  <c r="Q133" i="5" s="1"/>
  <c r="F252" i="5"/>
  <c r="E252" i="5" s="1"/>
  <c r="D252" i="5" s="1"/>
  <c r="Q252" i="5" s="1"/>
  <c r="S252" i="5" s="1"/>
  <c r="F92" i="5"/>
  <c r="E92" i="5" s="1"/>
  <c r="D92" i="5" s="1"/>
  <c r="Q92" i="5" s="1"/>
  <c r="S92" i="5" s="1"/>
  <c r="F63" i="5"/>
  <c r="E63" i="5" s="1"/>
  <c r="D63" i="5" s="1"/>
  <c r="Q63" i="5" s="1"/>
  <c r="S63" i="5" s="1"/>
  <c r="F58" i="5"/>
  <c r="E58" i="5" s="1"/>
  <c r="D58" i="5" s="1"/>
  <c r="Q58" i="5" s="1"/>
  <c r="F116" i="5"/>
  <c r="E116" i="5" s="1"/>
  <c r="D116" i="5" s="1"/>
  <c r="Q116" i="5" s="1"/>
  <c r="S116" i="5" s="1"/>
  <c r="F190" i="5"/>
  <c r="E190" i="5" s="1"/>
  <c r="D190" i="5" s="1"/>
  <c r="Q190" i="5" s="1"/>
  <c r="S190" i="5" s="1"/>
  <c r="F248" i="5"/>
  <c r="E248" i="5" s="1"/>
  <c r="D248" i="5" s="1"/>
  <c r="Q248" i="5" s="1"/>
  <c r="S248" i="5" s="1"/>
  <c r="F53" i="5"/>
  <c r="E53" i="5" s="1"/>
  <c r="D53" i="5" s="1"/>
  <c r="Q53" i="5" s="1"/>
  <c r="F214" i="5"/>
  <c r="E214" i="5" s="1"/>
  <c r="D214" i="5" s="1"/>
  <c r="Q214" i="5" s="1"/>
  <c r="S214" i="5" s="1"/>
  <c r="F246" i="5"/>
  <c r="E246" i="5" s="1"/>
  <c r="D246" i="5" s="1"/>
  <c r="Q246" i="5" s="1"/>
  <c r="S246" i="5" s="1"/>
  <c r="F137" i="5"/>
  <c r="E137" i="5" s="1"/>
  <c r="D137" i="5" s="1"/>
  <c r="Q137" i="5" s="1"/>
  <c r="F142" i="5"/>
  <c r="E142" i="5" s="1"/>
  <c r="D142" i="5" s="1"/>
  <c r="Q142" i="5" s="1"/>
  <c r="F201" i="5"/>
  <c r="E201" i="5" s="1"/>
  <c r="D201" i="5" s="1"/>
  <c r="Q201" i="5" s="1"/>
  <c r="S201" i="5" s="1"/>
  <c r="F120" i="5"/>
  <c r="E120" i="5" s="1"/>
  <c r="D120" i="5" s="1"/>
  <c r="Q120" i="5" s="1"/>
  <c r="S120" i="5" s="1"/>
  <c r="F254" i="5"/>
  <c r="E254" i="5" s="1"/>
  <c r="D254" i="5" s="1"/>
  <c r="Q254" i="5" s="1"/>
  <c r="S254" i="5" s="1"/>
  <c r="F45" i="5"/>
  <c r="E45" i="5" s="1"/>
  <c r="D45" i="5" s="1"/>
  <c r="Q45" i="5" s="1"/>
  <c r="F57" i="5"/>
  <c r="E57" i="5" s="1"/>
  <c r="D57" i="5" s="1"/>
  <c r="Q57" i="5" s="1"/>
  <c r="F126" i="5"/>
  <c r="E126" i="5" s="1"/>
  <c r="D126" i="5" s="1"/>
  <c r="Q126" i="5" s="1"/>
  <c r="S126" i="5" s="1"/>
  <c r="F242" i="5"/>
  <c r="E242" i="5" s="1"/>
  <c r="D242" i="5" s="1"/>
  <c r="Q242" i="5" s="1"/>
  <c r="S242" i="5" s="1"/>
  <c r="F21" i="5"/>
  <c r="E21" i="5" s="1"/>
  <c r="D21" i="5" s="1"/>
  <c r="Q21" i="5" s="1"/>
  <c r="S21" i="5" s="1"/>
  <c r="F84" i="5"/>
  <c r="E84" i="5" s="1"/>
  <c r="D84" i="5" s="1"/>
  <c r="Q84" i="5" s="1"/>
  <c r="E113" i="5"/>
  <c r="D113" i="5" s="1"/>
  <c r="Q113" i="5" s="1"/>
  <c r="S113" i="5" s="1"/>
  <c r="E192" i="5"/>
  <c r="D192" i="5" s="1"/>
  <c r="Q192" i="5" s="1"/>
  <c r="S192" i="5" s="1"/>
  <c r="E197" i="5"/>
  <c r="D197" i="5" s="1"/>
  <c r="Q197" i="5" s="1"/>
  <c r="S197" i="5" s="1"/>
  <c r="E253" i="5"/>
  <c r="D253" i="5" s="1"/>
  <c r="Q253" i="5" s="1"/>
  <c r="S253" i="5" s="1"/>
  <c r="F25" i="5"/>
  <c r="E25" i="5" s="1"/>
  <c r="D25" i="5" s="1"/>
  <c r="Q25" i="5" s="1"/>
  <c r="F198" i="5"/>
  <c r="E198" i="5" s="1"/>
  <c r="D198" i="5" s="1"/>
  <c r="Q198" i="5" s="1"/>
  <c r="S198" i="5" s="1"/>
  <c r="E251" i="5"/>
  <c r="D251" i="5" s="1"/>
  <c r="Q251" i="5" s="1"/>
  <c r="S251" i="5" s="1"/>
  <c r="E247" i="5"/>
  <c r="D247" i="5" s="1"/>
  <c r="Q247" i="5" s="1"/>
  <c r="S247" i="5" s="1"/>
  <c r="E249" i="5"/>
  <c r="D249" i="5" s="1"/>
  <c r="Q249" i="5" s="1"/>
  <c r="S249" i="5" s="1"/>
  <c r="E166" i="5"/>
  <c r="D166" i="5" s="1"/>
  <c r="Q166" i="5" s="1"/>
  <c r="Q7" i="5"/>
  <c r="S7" i="5" s="1"/>
  <c r="E203" i="5"/>
  <c r="D203" i="5" s="1"/>
  <c r="Q203" i="5" s="1"/>
  <c r="S203" i="5" s="1"/>
  <c r="F117" i="5"/>
  <c r="E117" i="5" s="1"/>
  <c r="D117" i="5" s="1"/>
  <c r="Q117" i="5" s="1"/>
  <c r="S117" i="5" s="1"/>
  <c r="F119" i="5"/>
  <c r="E119" i="5" s="1"/>
  <c r="D119" i="5" s="1"/>
  <c r="Q119" i="5" s="1"/>
  <c r="F233" i="5"/>
  <c r="E233" i="5" s="1"/>
  <c r="D233" i="5" s="1"/>
  <c r="Q233" i="5" s="1"/>
  <c r="S233" i="5" s="1"/>
  <c r="E215" i="5"/>
  <c r="D215" i="5" s="1"/>
  <c r="Q215" i="5" s="1"/>
  <c r="S215" i="5" s="1"/>
  <c r="E170" i="5"/>
  <c r="D170" i="5" s="1"/>
  <c r="Q170" i="5" s="1"/>
  <c r="F121" i="5"/>
  <c r="E121" i="5" s="1"/>
  <c r="D121" i="5" s="1"/>
  <c r="Q121" i="5" s="1"/>
  <c r="S121" i="5" s="1"/>
  <c r="E91" i="5"/>
  <c r="D91" i="5" s="1"/>
  <c r="Q91" i="5" s="1"/>
  <c r="E213" i="5"/>
  <c r="D213" i="5" s="1"/>
  <c r="Q213" i="5" s="1"/>
  <c r="S213" i="5" s="1"/>
  <c r="F86" i="5"/>
  <c r="E86" i="5" s="1"/>
  <c r="D86" i="5" s="1"/>
  <c r="Q86" i="5" s="1"/>
  <c r="E107" i="5"/>
  <c r="D107" i="5" s="1"/>
  <c r="Q107" i="5" s="1"/>
  <c r="S107" i="5" s="1"/>
  <c r="E39" i="5"/>
  <c r="D39" i="5" s="1"/>
  <c r="Q39" i="5" s="1"/>
  <c r="E36" i="5"/>
  <c r="D36" i="5" s="1"/>
  <c r="Q36" i="5" s="1"/>
  <c r="S36" i="5" s="1"/>
  <c r="E123" i="5"/>
  <c r="D123" i="5" s="1"/>
  <c r="Q123" i="5" s="1"/>
  <c r="S123" i="5" s="1"/>
  <c r="E100" i="5"/>
  <c r="D100" i="5" s="1"/>
  <c r="Q100" i="5" s="1"/>
  <c r="S100" i="5" s="1"/>
  <c r="E278" i="5"/>
  <c r="D278" i="5" s="1"/>
  <c r="Q278" i="5" s="1"/>
  <c r="S278" i="5" s="1"/>
  <c r="E194" i="5"/>
  <c r="D194" i="5" s="1"/>
  <c r="Q194" i="5" s="1"/>
  <c r="S194" i="5" s="1"/>
  <c r="F261" i="5"/>
  <c r="E261" i="5" s="1"/>
  <c r="D261" i="5" s="1"/>
  <c r="Q261" i="5" s="1"/>
  <c r="S261" i="5" s="1"/>
  <c r="F196" i="5"/>
  <c r="E196" i="5" s="1"/>
  <c r="D196" i="5" s="1"/>
  <c r="Q196" i="5" s="1"/>
  <c r="S196" i="5" s="1"/>
  <c r="E44" i="5"/>
  <c r="D44" i="5" s="1"/>
  <c r="Q44" i="5" s="1"/>
  <c r="F83" i="5"/>
  <c r="E83" i="5" s="1"/>
  <c r="D83" i="5" s="1"/>
  <c r="Q83" i="5" s="1"/>
  <c r="F28" i="5"/>
  <c r="E28" i="5" s="1"/>
  <c r="D28" i="5" s="1"/>
  <c r="Q28" i="5" s="1"/>
  <c r="F270" i="5"/>
  <c r="E270" i="5" s="1"/>
  <c r="D270" i="5" s="1"/>
  <c r="Q270" i="5" s="1"/>
  <c r="S270" i="5" s="1"/>
  <c r="F99" i="5"/>
  <c r="E99" i="5" s="1"/>
  <c r="D99" i="5" s="1"/>
  <c r="Q99" i="5" s="1"/>
  <c r="S99" i="5" s="1"/>
  <c r="E122" i="5"/>
  <c r="D122" i="5" s="1"/>
  <c r="Q122" i="5" s="1"/>
  <c r="S122" i="5" s="1"/>
  <c r="F263" i="5"/>
  <c r="E263" i="5" s="1"/>
  <c r="D263" i="5" s="1"/>
  <c r="Q263" i="5" s="1"/>
  <c r="S263" i="5" s="1"/>
  <c r="F13" i="5"/>
  <c r="E13" i="5" s="1"/>
  <c r="D13" i="5" s="1"/>
  <c r="Q13" i="5" s="1"/>
  <c r="F159" i="5"/>
  <c r="E159" i="5" s="1"/>
  <c r="D159" i="5" s="1"/>
  <c r="Q159" i="5" s="1"/>
  <c r="F200" i="5"/>
  <c r="E200" i="5" s="1"/>
  <c r="D200" i="5" s="1"/>
  <c r="Q200" i="5" s="1"/>
  <c r="S200" i="5" s="1"/>
  <c r="F153" i="5"/>
  <c r="E153" i="5" s="1"/>
  <c r="D153" i="5" s="1"/>
  <c r="Q153" i="5" s="1"/>
  <c r="S153" i="5" s="1"/>
  <c r="E71" i="5"/>
  <c r="D71" i="5" s="1"/>
  <c r="Q71" i="5" s="1"/>
  <c r="F102" i="5"/>
  <c r="E102" i="5" s="1"/>
  <c r="D102" i="5" s="1"/>
  <c r="Q102" i="5" s="1"/>
  <c r="F105" i="5"/>
  <c r="E105" i="5" s="1"/>
  <c r="D105" i="5" s="1"/>
  <c r="Q105" i="5" s="1"/>
  <c r="S105" i="5" s="1"/>
  <c r="F259" i="5"/>
  <c r="E259" i="5" s="1"/>
  <c r="D259" i="5" s="1"/>
  <c r="Q259" i="5" s="1"/>
  <c r="S259" i="5" s="1"/>
  <c r="F68" i="5"/>
  <c r="E68" i="5" s="1"/>
  <c r="D68" i="5" s="1"/>
  <c r="Q68" i="5" s="1"/>
  <c r="F255" i="5"/>
  <c r="E255" i="5" s="1"/>
  <c r="D255" i="5" s="1"/>
  <c r="Q255" i="5" s="1"/>
  <c r="S255" i="5" s="1"/>
  <c r="F65" i="5"/>
  <c r="E65" i="5" s="1"/>
  <c r="D65" i="5" s="1"/>
  <c r="Q65" i="5" s="1"/>
  <c r="F27" i="5"/>
  <c r="E27" i="5" s="1"/>
  <c r="D27" i="5" s="1"/>
  <c r="Q27" i="5" s="1"/>
  <c r="F87" i="5"/>
  <c r="E87" i="5" s="1"/>
  <c r="D87" i="5" s="1"/>
  <c r="Q87" i="5" s="1"/>
  <c r="F56" i="5"/>
  <c r="E56" i="5" s="1"/>
  <c r="D56" i="5" s="1"/>
  <c r="Q56" i="5" s="1"/>
  <c r="F154" i="5"/>
  <c r="E154" i="5" s="1"/>
  <c r="D154" i="5" s="1"/>
  <c r="Q154" i="5" s="1"/>
  <c r="S154" i="5" s="1"/>
  <c r="F111" i="5"/>
  <c r="E111" i="5" s="1"/>
  <c r="D111" i="5" s="1"/>
  <c r="Q111" i="5" s="1"/>
  <c r="S111" i="5" s="1"/>
  <c r="F108" i="5"/>
  <c r="E108" i="5" s="1"/>
  <c r="D108" i="5" s="1"/>
  <c r="Q108" i="5" s="1"/>
  <c r="S108" i="5" s="1"/>
  <c r="F82" i="5"/>
  <c r="E82" i="5" s="1"/>
  <c r="D82" i="5" s="1"/>
  <c r="Q82" i="5" s="1"/>
  <c r="F172" i="5"/>
  <c r="E172" i="5" s="1"/>
  <c r="D172" i="5" s="1"/>
  <c r="Q172" i="5" s="1"/>
  <c r="F186" i="5"/>
  <c r="E186" i="5" s="1"/>
  <c r="D186" i="5" s="1"/>
  <c r="Q186" i="5" s="1"/>
  <c r="F75" i="5"/>
  <c r="E75" i="5" s="1"/>
  <c r="D75" i="5" s="1"/>
  <c r="Q75" i="5" s="1"/>
  <c r="F156" i="5"/>
  <c r="E156" i="5" s="1"/>
  <c r="D156" i="5" s="1"/>
  <c r="Q156" i="5" s="1"/>
  <c r="S156" i="5" s="1"/>
  <c r="E124" i="5"/>
  <c r="D124" i="5" s="1"/>
  <c r="Q124" i="5" s="1"/>
  <c r="S124" i="5" s="1"/>
  <c r="F14" i="5"/>
  <c r="E14" i="5" s="1"/>
  <c r="D14" i="5" s="1"/>
  <c r="Q14" i="5" s="1"/>
  <c r="F96" i="5"/>
  <c r="E96" i="5" s="1"/>
  <c r="D96" i="5" s="1"/>
  <c r="Q96" i="5" s="1"/>
  <c r="F179" i="5"/>
  <c r="E179" i="5" s="1"/>
  <c r="D179" i="5" s="1"/>
  <c r="Q179" i="5" s="1"/>
  <c r="S179" i="5" s="1"/>
  <c r="F55" i="5"/>
  <c r="E55" i="5" s="1"/>
  <c r="D55" i="5" s="1"/>
  <c r="Q55" i="5" s="1"/>
  <c r="F257" i="5"/>
  <c r="E257" i="5" s="1"/>
  <c r="D257" i="5" s="1"/>
  <c r="Q257" i="5" s="1"/>
  <c r="S257" i="5" s="1"/>
  <c r="E271" i="5"/>
  <c r="D271" i="5" s="1"/>
  <c r="Q271" i="5" s="1"/>
  <c r="S271" i="5" s="1"/>
  <c r="F29" i="5"/>
  <c r="E29" i="5" s="1"/>
  <c r="D29" i="5" s="1"/>
  <c r="Q29" i="5" s="1"/>
  <c r="F47" i="5"/>
  <c r="E47" i="5" s="1"/>
  <c r="D47" i="5" s="1"/>
  <c r="Q47" i="5" s="1"/>
  <c r="F112" i="5"/>
  <c r="E112" i="5" s="1"/>
  <c r="D112" i="5" s="1"/>
  <c r="Q112" i="5" s="1"/>
  <c r="S112" i="5" s="1"/>
  <c r="F73" i="5"/>
  <c r="E73" i="5" s="1"/>
  <c r="D73" i="5" s="1"/>
  <c r="Q73" i="5" s="1"/>
  <c r="F42" i="5"/>
  <c r="E42" i="5" s="1"/>
  <c r="D42" i="5" s="1"/>
  <c r="Q42" i="5" s="1"/>
  <c r="F78" i="5"/>
  <c r="E78" i="5" s="1"/>
  <c r="D78" i="5" s="1"/>
  <c r="Q78" i="5" s="1"/>
  <c r="F234" i="5"/>
  <c r="E234" i="5" s="1"/>
  <c r="D234" i="5" s="1"/>
  <c r="Q234" i="5" s="1"/>
  <c r="F49" i="5"/>
  <c r="E49" i="5" s="1"/>
  <c r="D49" i="5" s="1"/>
  <c r="Q49" i="5" s="1"/>
  <c r="F74" i="5"/>
  <c r="E74" i="5" s="1"/>
  <c r="D74" i="5" s="1"/>
  <c r="Q74" i="5" s="1"/>
  <c r="F22" i="5"/>
  <c r="E22" i="5" s="1"/>
  <c r="D22" i="5" s="1"/>
  <c r="Q22" i="5" s="1"/>
  <c r="F267" i="5"/>
  <c r="E267" i="5" s="1"/>
  <c r="D267" i="5" s="1"/>
  <c r="Q267" i="5" s="1"/>
  <c r="S267" i="5" s="1"/>
  <c r="F17" i="5"/>
  <c r="E17" i="5" s="1"/>
  <c r="D17" i="5" s="1"/>
  <c r="Q17" i="5" s="1"/>
  <c r="F66" i="5"/>
  <c r="E66" i="5" s="1"/>
  <c r="D66" i="5" s="1"/>
  <c r="Q66" i="5" s="1"/>
  <c r="F26" i="5"/>
  <c r="E26" i="5" s="1"/>
  <c r="D26" i="5" s="1"/>
  <c r="Q26" i="5" s="1"/>
  <c r="F265" i="5"/>
  <c r="E265" i="5" s="1"/>
  <c r="D265" i="5" s="1"/>
  <c r="Q265" i="5" s="1"/>
  <c r="S265" i="5" s="1"/>
  <c r="F176" i="5"/>
  <c r="E176" i="5" s="1"/>
  <c r="D176" i="5" s="1"/>
  <c r="Q176" i="5" s="1"/>
  <c r="S176" i="5" s="1"/>
  <c r="F150" i="5"/>
  <c r="E150" i="5" s="1"/>
  <c r="D150" i="5" s="1"/>
  <c r="Q150" i="5" s="1"/>
  <c r="S150" i="5" s="1"/>
  <c r="E31" i="5"/>
  <c r="D31" i="5" s="1"/>
  <c r="Q31" i="5" s="1"/>
  <c r="E195" i="5"/>
  <c r="D195" i="5" s="1"/>
  <c r="Q195" i="5" s="1"/>
  <c r="S195" i="5" s="1"/>
  <c r="E178" i="5"/>
  <c r="D178" i="5" s="1"/>
  <c r="Q178" i="5" s="1"/>
  <c r="S178" i="5" s="1"/>
  <c r="E131" i="5"/>
  <c r="D131" i="5" s="1"/>
  <c r="Q131" i="5" s="1"/>
  <c r="S131" i="5" s="1"/>
  <c r="E217" i="5"/>
  <c r="D217" i="5" s="1"/>
  <c r="Q217" i="5" s="1"/>
  <c r="S217" i="5" s="1"/>
  <c r="E94" i="5"/>
  <c r="D94" i="5" s="1"/>
  <c r="Q94" i="5" s="1"/>
  <c r="E136" i="5"/>
  <c r="D136" i="5" s="1"/>
  <c r="Q136" i="5" s="1"/>
  <c r="E67" i="5"/>
  <c r="D67" i="5" s="1"/>
  <c r="Q67" i="5" s="1"/>
  <c r="E69" i="5"/>
  <c r="D69" i="5" s="1"/>
  <c r="Q69" i="5" s="1"/>
  <c r="E148" i="5"/>
  <c r="D148" i="5" s="1"/>
  <c r="Q148" i="5" s="1"/>
  <c r="S148" i="5" s="1"/>
  <c r="E237" i="5"/>
  <c r="D237" i="5" s="1"/>
  <c r="Q237" i="5" s="1"/>
  <c r="S237" i="5" s="1"/>
  <c r="E175" i="5"/>
  <c r="D175" i="5" s="1"/>
  <c r="Q175" i="5" s="1"/>
  <c r="S175" i="5" s="1"/>
  <c r="E19" i="5"/>
  <c r="D19" i="5" s="1"/>
  <c r="Q19" i="5" s="1"/>
  <c r="E204" i="5"/>
  <c r="D204" i="5" s="1"/>
  <c r="Q204" i="5" s="1"/>
  <c r="S204" i="5" s="1"/>
  <c r="E106" i="5"/>
  <c r="D106" i="5" s="1"/>
  <c r="Q106" i="5" s="1"/>
  <c r="S106" i="5" s="1"/>
  <c r="E72" i="5"/>
  <c r="D72" i="5" s="1"/>
  <c r="Q72" i="5" s="1"/>
  <c r="E93" i="5"/>
  <c r="D93" i="5" s="1"/>
  <c r="Q93" i="5" s="1"/>
  <c r="E61" i="5"/>
  <c r="D61" i="5" s="1"/>
  <c r="Q61" i="5" s="1"/>
  <c r="E33" i="5"/>
  <c r="D33" i="5" s="1"/>
  <c r="Q33" i="5" s="1"/>
  <c r="E210" i="5"/>
  <c r="D210" i="5" s="1"/>
  <c r="Q210" i="5" s="1"/>
  <c r="S210" i="5" s="1"/>
  <c r="E272" i="5"/>
  <c r="D272" i="5" s="1"/>
  <c r="Q272" i="5" s="1"/>
  <c r="S272" i="5" s="1"/>
  <c r="E182" i="5"/>
  <c r="D182" i="5" s="1"/>
  <c r="Q182" i="5" s="1"/>
  <c r="E180" i="5"/>
  <c r="D180" i="5" s="1"/>
  <c r="Q180" i="5" s="1"/>
  <c r="E232" i="5"/>
  <c r="D232" i="5" s="1"/>
  <c r="Q232" i="5" s="1"/>
  <c r="S232" i="5" s="1"/>
  <c r="E189" i="5"/>
  <c r="D189" i="5" s="1"/>
  <c r="Q189" i="5" s="1"/>
  <c r="S189" i="5" s="1"/>
  <c r="E202" i="5"/>
  <c r="D202" i="5" s="1"/>
  <c r="Q202" i="5" s="1"/>
  <c r="S202" i="5" s="1"/>
  <c r="E275" i="5"/>
  <c r="D275" i="5" s="1"/>
  <c r="Q275" i="5" s="1"/>
  <c r="S275" i="5" s="1"/>
  <c r="E207" i="5"/>
  <c r="D207" i="5" s="1"/>
  <c r="Q207" i="5" s="1"/>
  <c r="S207" i="5" s="1"/>
  <c r="E147" i="5"/>
  <c r="D147" i="5" s="1"/>
  <c r="Q147" i="5" s="1"/>
  <c r="S147" i="5" s="1"/>
  <c r="E240" i="5"/>
  <c r="D240" i="5" s="1"/>
  <c r="Q240" i="5" s="1"/>
  <c r="S240" i="5" s="1"/>
  <c r="E114" i="5"/>
  <c r="D114" i="5" s="1"/>
  <c r="Q114" i="5" s="1"/>
  <c r="S114" i="5" s="1"/>
  <c r="E209" i="5"/>
  <c r="D209" i="5" s="1"/>
  <c r="Q209" i="5" s="1"/>
  <c r="S209" i="5" s="1"/>
  <c r="E54" i="5"/>
  <c r="D54" i="5" s="1"/>
  <c r="Q54" i="5" s="1"/>
  <c r="E205" i="5"/>
  <c r="D205" i="5" s="1"/>
  <c r="Q205" i="5" s="1"/>
  <c r="S205" i="5" s="1"/>
  <c r="E161" i="5"/>
  <c r="D161" i="5" s="1"/>
  <c r="Q161" i="5" s="1"/>
  <c r="S161" i="5" s="1"/>
  <c r="E157" i="5"/>
  <c r="D157" i="5" s="1"/>
  <c r="Q157" i="5" s="1"/>
  <c r="S157" i="5" s="1"/>
  <c r="E143" i="5"/>
  <c r="D143" i="5" s="1"/>
  <c r="Q143" i="5" s="1"/>
  <c r="E208" i="5"/>
  <c r="D208" i="5" s="1"/>
  <c r="Q208" i="5" s="1"/>
  <c r="S208" i="5" s="1"/>
  <c r="E236" i="5"/>
  <c r="D236" i="5" s="1"/>
  <c r="Q236" i="5" s="1"/>
  <c r="S236" i="5" s="1"/>
  <c r="E206" i="5"/>
  <c r="D206" i="5" s="1"/>
  <c r="Q206" i="5" s="1"/>
  <c r="S206" i="5" s="1"/>
  <c r="E125" i="5"/>
  <c r="D125" i="5" s="1"/>
  <c r="Q125" i="5" s="1"/>
  <c r="S125" i="5" s="1"/>
  <c r="E191" i="5"/>
  <c r="D191" i="5" s="1"/>
  <c r="Q191" i="5" s="1"/>
  <c r="S191" i="5" s="1"/>
  <c r="E151" i="5"/>
  <c r="D151" i="5" s="1"/>
  <c r="Q151" i="5" s="1"/>
  <c r="S151" i="5" s="1"/>
  <c r="E144" i="5"/>
  <c r="D144" i="5" s="1"/>
  <c r="Q144" i="5" s="1"/>
  <c r="E149" i="5"/>
  <c r="D149" i="5" s="1"/>
  <c r="Q149" i="5" s="1"/>
  <c r="S149" i="5" s="1"/>
  <c r="E238" i="5"/>
  <c r="D238" i="5" s="1"/>
  <c r="Q238" i="5" s="1"/>
  <c r="S238" i="5" s="1"/>
  <c r="E88" i="5"/>
  <c r="D88" i="5" s="1"/>
  <c r="Q88" i="5" s="1"/>
  <c r="E127" i="5"/>
  <c r="D127" i="5" s="1"/>
  <c r="Q127" i="5" s="1"/>
  <c r="S127" i="5" s="1"/>
  <c r="E41" i="5"/>
  <c r="D41" i="5" s="1"/>
  <c r="Q41" i="5" s="1"/>
  <c r="E85" i="5"/>
  <c r="D85" i="5" s="1"/>
  <c r="Q85" i="5" s="1"/>
  <c r="E168" i="5"/>
  <c r="D168" i="5" s="1"/>
  <c r="Q168" i="5" s="1"/>
  <c r="E95" i="5"/>
  <c r="D95" i="5" s="1"/>
  <c r="Q95" i="5" s="1"/>
  <c r="S95" i="5" s="1"/>
  <c r="E134" i="5"/>
  <c r="D134" i="5" s="1"/>
  <c r="Q134" i="5" s="1"/>
  <c r="E276" i="5"/>
  <c r="D276" i="5" s="1"/>
  <c r="Q276" i="5" s="1"/>
  <c r="S276" i="5" s="1"/>
  <c r="E40" i="5"/>
  <c r="D40" i="5" s="1"/>
  <c r="Q40" i="5" s="1"/>
  <c r="E23" i="5"/>
  <c r="D23" i="5" s="1"/>
  <c r="Q23" i="5" s="1"/>
  <c r="E115" i="5"/>
  <c r="D115" i="5" s="1"/>
  <c r="Q115" i="5" s="1"/>
  <c r="S115" i="5" s="1"/>
  <c r="E18" i="5"/>
  <c r="D18" i="5" s="1"/>
  <c r="Q18" i="5" s="1"/>
  <c r="E212" i="5"/>
  <c r="D212" i="5" s="1"/>
  <c r="Q212" i="5" s="1"/>
  <c r="S212" i="5" s="1"/>
  <c r="E268" i="5"/>
  <c r="D268" i="5" s="1"/>
  <c r="Q268" i="5" s="1"/>
  <c r="S268" i="5" s="1"/>
  <c r="E109" i="5"/>
  <c r="D109" i="5" s="1"/>
  <c r="Q109" i="5" s="1"/>
  <c r="S109" i="5" s="1"/>
  <c r="E8" i="5"/>
  <c r="D8" i="5" s="1"/>
  <c r="Q8" i="5" s="1"/>
  <c r="E110" i="5"/>
  <c r="D110" i="5" s="1"/>
  <c r="Q110" i="5" s="1"/>
  <c r="S110" i="5" s="1"/>
  <c r="E187" i="5"/>
  <c r="D187" i="5" s="1"/>
  <c r="Q187" i="5" s="1"/>
  <c r="E173" i="5"/>
  <c r="D173" i="5" s="1"/>
  <c r="Q173" i="5" s="1"/>
  <c r="E38" i="5"/>
  <c r="D38" i="5" s="1"/>
  <c r="Q38" i="5" s="1"/>
  <c r="E15" i="5"/>
  <c r="D15" i="5" s="1"/>
  <c r="Q15" i="5" s="1"/>
  <c r="E97" i="5"/>
  <c r="D97" i="5" s="1"/>
  <c r="Q97" i="5" s="1"/>
  <c r="E51" i="5"/>
  <c r="D51" i="5" s="1"/>
  <c r="Q51" i="5" s="1"/>
  <c r="S51" i="5" s="1"/>
  <c r="E101" i="5"/>
  <c r="D101" i="5" s="1"/>
  <c r="Q101" i="5" s="1"/>
  <c r="E135" i="5"/>
  <c r="D135" i="5" s="1"/>
  <c r="Q135" i="5" s="1"/>
  <c r="S135" i="5" s="1"/>
  <c r="E162" i="5"/>
  <c r="D162" i="5" s="1"/>
  <c r="Q162" i="5" s="1"/>
  <c r="S162" i="5" s="1"/>
  <c r="E152" i="5"/>
  <c r="D152" i="5" s="1"/>
  <c r="Q152" i="5" s="1"/>
  <c r="S152" i="5" s="1"/>
  <c r="E52" i="5"/>
  <c r="D52" i="5" s="1"/>
  <c r="Q52" i="5" s="1"/>
  <c r="E60" i="5"/>
  <c r="D60" i="5" s="1"/>
  <c r="Q60" i="5" s="1"/>
  <c r="E171" i="5"/>
  <c r="D171" i="5" s="1"/>
  <c r="Q171" i="5" s="1"/>
  <c r="E103" i="5"/>
  <c r="D103" i="5" s="1"/>
  <c r="Q103" i="5" s="1"/>
  <c r="E130" i="5"/>
  <c r="D130" i="5" s="1"/>
  <c r="Q130" i="5" s="1"/>
  <c r="S130" i="5" s="1"/>
  <c r="E128" i="5"/>
  <c r="D128" i="5" s="1"/>
  <c r="Q128" i="5" s="1"/>
  <c r="S128" i="5" s="1"/>
  <c r="E260" i="5"/>
  <c r="D260" i="5" s="1"/>
  <c r="Q260" i="5" s="1"/>
  <c r="S260" i="5" s="1"/>
  <c r="E211" i="5"/>
  <c r="D211" i="5" s="1"/>
  <c r="Q211" i="5" s="1"/>
  <c r="S211" i="5" s="1"/>
  <c r="E64" i="5"/>
  <c r="D64" i="5" s="1"/>
  <c r="Q64" i="5" s="1"/>
  <c r="E9" i="5"/>
  <c r="D9" i="5" s="1"/>
  <c r="Q9" i="5" s="1"/>
  <c r="E199" i="5"/>
  <c r="D199" i="5" s="1"/>
  <c r="Q199" i="5" s="1"/>
  <c r="S199" i="5" s="1"/>
  <c r="E216" i="5"/>
  <c r="D216" i="5" s="1"/>
  <c r="Q216" i="5" s="1"/>
  <c r="S216" i="5" s="1"/>
  <c r="E70" i="5"/>
  <c r="D70" i="5" s="1"/>
  <c r="Q70" i="5" s="1"/>
  <c r="E37" i="5"/>
  <c r="D37" i="5" s="1"/>
  <c r="Q37" i="5" s="1"/>
  <c r="E241" i="5"/>
  <c r="D241" i="5" s="1"/>
  <c r="Q241" i="5" s="1"/>
  <c r="S241" i="5" s="1"/>
  <c r="E18" i="16"/>
  <c r="D18" i="16" s="1"/>
  <c r="Q18" i="16" s="1"/>
  <c r="E19" i="16"/>
  <c r="D19" i="16" s="1"/>
  <c r="Q19" i="16" s="1"/>
  <c r="E11" i="16"/>
  <c r="D11" i="16" s="1"/>
  <c r="Q11" i="16" s="1"/>
  <c r="E63" i="16"/>
  <c r="D63" i="16" s="1"/>
  <c r="Q63" i="16" s="1"/>
  <c r="E64" i="16"/>
  <c r="D64" i="16" s="1"/>
  <c r="Q64" i="16" s="1"/>
  <c r="E61" i="16"/>
  <c r="D61" i="16" s="1"/>
  <c r="Q61" i="16" s="1"/>
  <c r="E62" i="16"/>
  <c r="D62" i="16" s="1"/>
  <c r="Q62" i="16" s="1"/>
  <c r="E44" i="16"/>
  <c r="D44" i="16" s="1"/>
  <c r="Q44" i="16" s="1"/>
  <c r="E47" i="16"/>
  <c r="D47" i="16" s="1"/>
  <c r="Q47" i="16" s="1"/>
  <c r="E13" i="16"/>
  <c r="D13" i="16" s="1"/>
  <c r="Q13" i="16" s="1"/>
  <c r="E12" i="16"/>
  <c r="D12" i="16" s="1"/>
  <c r="Q12" i="16" s="1"/>
  <c r="S3" i="5" l="1"/>
</calcChain>
</file>

<file path=xl/sharedStrings.xml><?xml version="1.0" encoding="utf-8"?>
<sst xmlns="http://schemas.openxmlformats.org/spreadsheetml/2006/main" count="1360" uniqueCount="78">
  <si>
    <t>Simulation of Troe form</t>
  </si>
  <si>
    <t>A</t>
  </si>
  <si>
    <t>n</t>
  </si>
  <si>
    <t>E</t>
  </si>
  <si>
    <t>F</t>
  </si>
  <si>
    <t>log F</t>
  </si>
  <si>
    <t>log Pr +C</t>
  </si>
  <si>
    <t>Pr</t>
  </si>
  <si>
    <t>c</t>
  </si>
  <si>
    <t>N</t>
  </si>
  <si>
    <t>Fc</t>
  </si>
  <si>
    <t>[M]</t>
  </si>
  <si>
    <t>kinf</t>
  </si>
  <si>
    <t>k0</t>
  </si>
  <si>
    <t>10000/T</t>
  </si>
  <si>
    <t>T</t>
  </si>
  <si>
    <t>k</t>
  </si>
  <si>
    <t>Chi^2</t>
  </si>
  <si>
    <t>b</t>
  </si>
  <si>
    <t>d</t>
  </si>
  <si>
    <t>fitting</t>
  </si>
  <si>
    <t>Kurylo 1972</t>
  </si>
  <si>
    <t>Wong and Davis</t>
  </si>
  <si>
    <t>Hikida et al</t>
  </si>
  <si>
    <t>Cobos</t>
  </si>
  <si>
    <t>1 bar</t>
  </si>
  <si>
    <t>Westenberg  and deHaas</t>
  </si>
  <si>
    <t>2-3 Torr</t>
  </si>
  <si>
    <t>Ashman and heyes</t>
  </si>
  <si>
    <t>Getzinger et al</t>
  </si>
  <si>
    <t>Pirraglia et al</t>
  </si>
  <si>
    <t>100-USC Mech II</t>
  </si>
  <si>
    <t>760- USC Mech II</t>
  </si>
  <si>
    <t>3800 USC Mech II</t>
  </si>
  <si>
    <t>7600 USC Mech II</t>
  </si>
  <si>
    <t>22800 USC Mech II</t>
  </si>
  <si>
    <t>100-Burke</t>
  </si>
  <si>
    <t>760- Burke</t>
  </si>
  <si>
    <t>3800 Burke</t>
  </si>
  <si>
    <t>7600 Burke</t>
  </si>
  <si>
    <t>22800 Burke</t>
  </si>
  <si>
    <t>Aramco</t>
  </si>
  <si>
    <t>Mueller et al 1998</t>
  </si>
  <si>
    <t>100-Aramco Mech</t>
  </si>
  <si>
    <t>380-Aramco Mech</t>
  </si>
  <si>
    <t>760-Aramco Mech</t>
  </si>
  <si>
    <t>1520-Aramco Mech</t>
  </si>
  <si>
    <t>3800-Aramco Mech</t>
  </si>
  <si>
    <t>7600-Aramco Mech</t>
  </si>
  <si>
    <t>22800-Aramco Mech</t>
  </si>
  <si>
    <t>76000-Aramco Mech</t>
  </si>
  <si>
    <t>380000-Aramco Mech</t>
  </si>
  <si>
    <t>k0-HPMech</t>
  </si>
  <si>
    <t>k0-Aramco Mech</t>
  </si>
  <si>
    <t>k0-USC Mech II</t>
  </si>
  <si>
    <t>k0-Burke Model</t>
  </si>
  <si>
    <t>PRESSURE(Torr)</t>
  </si>
  <si>
    <t>Michael et al</t>
  </si>
  <si>
    <t>Davidson 1996</t>
  </si>
  <si>
    <t>Pressure(atm)</t>
  </si>
  <si>
    <t>k1</t>
  </si>
  <si>
    <t>Shao 2018</t>
  </si>
  <si>
    <t>H+O2=O+OH</t>
  </si>
  <si>
    <t>Hong 2011</t>
  </si>
  <si>
    <t>GRI Mech 1.2</t>
  </si>
  <si>
    <t>using Hong 2011 mechanism</t>
  </si>
  <si>
    <t>EXPTS.</t>
  </si>
  <si>
    <t>Michael 2002 Ar</t>
  </si>
  <si>
    <t>2OH</t>
  </si>
  <si>
    <t xml:space="preserve">H2+O2 </t>
  </si>
  <si>
    <t>H2+O2</t>
  </si>
  <si>
    <t>H+OH=H2O</t>
  </si>
  <si>
    <t>N2</t>
  </si>
  <si>
    <t>AR</t>
  </si>
  <si>
    <t>keq</t>
  </si>
  <si>
    <t>H2O=H+OH</t>
  </si>
  <si>
    <t>Choudhary Expts</t>
  </si>
  <si>
    <t>~12 to ~16 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</si>
</sst>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E+000"/>
    <numFmt numFmtId="165" formatCode="0.000"/>
    <numFmt numFmtId="166" formatCode="0.000E+00"/>
    <numFmt numFmtId="167" formatCode="0.0000E+00"/>
  </numFmts>
  <fonts count="34">
    <font>
      <sz val="10"/>
      <name val="Arial"/>
      <family val="2"/>
    </font>
    <font>
      <sz val="10"/>
      <color indexed="18"/>
      <name val="Arial"/>
      <family val="2"/>
    </font>
    <font>
      <sz val="10"/>
      <color indexed="16"/>
      <name val="Arial"/>
      <family val="2"/>
    </font>
    <font>
      <sz val="12"/>
      <name val="Times New Roman"/>
      <family val="1"/>
    </font>
    <font>
      <sz val="10"/>
      <color indexed="10"/>
      <name val="Arial"/>
      <family val="2"/>
    </font>
    <font>
      <sz val="12"/>
      <color indexed="10"/>
      <name val="Times New Roman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sz val="10"/>
      <color indexed="18"/>
      <name val="Arial"/>
      <family val="2"/>
    </font>
    <font>
      <b/>
      <sz val="10"/>
      <color rgb="FFFF0000"/>
      <name val="Arial"/>
      <family val="2"/>
    </font>
    <font>
      <sz val="10"/>
      <color rgb="FFFFC000"/>
      <name val="Arial"/>
      <family val="2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0"/>
      <color rgb="FF7030A0"/>
      <name val="Arial"/>
      <family val="2"/>
    </font>
    <font>
      <sz val="12"/>
      <color rgb="FF7030A0"/>
      <name val="Times New Roman"/>
      <family val="1"/>
    </font>
    <font>
      <sz val="10"/>
      <color rgb="FF00B050"/>
      <name val="Arial"/>
      <family val="2"/>
    </font>
    <font>
      <sz val="12"/>
      <color rgb="FF00B050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3"/>
      <name val="Arial"/>
      <family val="2"/>
    </font>
    <font>
      <b/>
      <sz val="12"/>
      <color theme="3"/>
      <name val="Times New Roman"/>
      <family val="1"/>
    </font>
    <font>
      <sz val="10"/>
      <color theme="5"/>
      <name val="Arial"/>
      <family val="2"/>
    </font>
    <font>
      <sz val="12"/>
      <color theme="5"/>
      <name val="Times New Roman"/>
      <family val="1"/>
    </font>
    <font>
      <b/>
      <sz val="10"/>
      <color rgb="FFFFC000"/>
      <name val="Arial"/>
      <family val="2"/>
    </font>
    <font>
      <b/>
      <sz val="12"/>
      <color rgb="FFFFC000"/>
      <name val="Times New Roman"/>
      <family val="1"/>
    </font>
    <font>
      <b/>
      <sz val="10"/>
      <color rgb="FF00B050"/>
      <name val="Arial"/>
      <family val="2"/>
    </font>
    <font>
      <b/>
      <sz val="12"/>
      <color rgb="FF00B05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7030A0"/>
      <name val="Arial"/>
      <family val="2"/>
    </font>
    <font>
      <b/>
      <sz val="12"/>
      <color rgb="FF7030A0"/>
      <name val="Times New Roman"/>
      <family val="1"/>
    </font>
    <font>
      <sz val="11"/>
      <color rgb="FF000000"/>
      <name val="Gullive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FB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7E6E6"/>
      </bottom>
      <diagonal/>
    </border>
  </borders>
  <cellStyleXfs count="1">
    <xf numFmtId="0" fontId="0" fillId="0" borderId="0"/>
  </cellStyleXfs>
  <cellXfs count="108">
    <xf numFmtId="0" fontId="0" fillId="0" borderId="0" xfId="0"/>
    <xf numFmtId="164" fontId="0" fillId="0" borderId="0" xfId="0" applyNumberFormat="1"/>
    <xf numFmtId="2" fontId="0" fillId="0" borderId="0" xfId="0" applyNumberFormat="1" applyFont="1"/>
    <xf numFmtId="2" fontId="1" fillId="0" borderId="0" xfId="0" applyNumberFormat="1" applyFon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11" fontId="0" fillId="0" borderId="0" xfId="0" applyNumberForma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3" fillId="0" borderId="0" xfId="0" applyNumberFormat="1" applyFont="1" applyAlignment="1">
      <alignment vertical="center"/>
    </xf>
    <xf numFmtId="11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11" fontId="4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11" fontId="6" fillId="0" borderId="0" xfId="0" applyNumberFormat="1" applyFont="1"/>
    <xf numFmtId="0" fontId="0" fillId="0" borderId="1" xfId="0" applyBorder="1"/>
    <xf numFmtId="166" fontId="0" fillId="0" borderId="0" xfId="0" applyNumberFormat="1"/>
    <xf numFmtId="167" fontId="0" fillId="0" borderId="0" xfId="0" applyNumberFormat="1"/>
    <xf numFmtId="0" fontId="6" fillId="0" borderId="0" xfId="0" applyFont="1"/>
    <xf numFmtId="0" fontId="6" fillId="0" borderId="1" xfId="0" applyFont="1" applyBorder="1"/>
    <xf numFmtId="2" fontId="7" fillId="0" borderId="0" xfId="0" applyNumberFormat="1" applyFont="1"/>
    <xf numFmtId="11" fontId="7" fillId="0" borderId="0" xfId="0" applyNumberFormat="1" applyFont="1"/>
    <xf numFmtId="11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11" fontId="8" fillId="0" borderId="0" xfId="0" applyNumberFormat="1" applyFont="1" applyAlignment="1">
      <alignment vertical="center"/>
    </xf>
    <xf numFmtId="11" fontId="9" fillId="0" borderId="0" xfId="0" applyNumberFormat="1" applyFont="1"/>
    <xf numFmtId="0" fontId="10" fillId="0" borderId="0" xfId="0" applyFont="1"/>
    <xf numFmtId="0" fontId="7" fillId="0" borderId="0" xfId="0" applyFont="1"/>
    <xf numFmtId="0" fontId="7" fillId="0" borderId="0" xfId="0" applyNumberFormat="1" applyFont="1"/>
    <xf numFmtId="0" fontId="11" fillId="0" borderId="0" xfId="0" applyFont="1"/>
    <xf numFmtId="11" fontId="11" fillId="0" borderId="0" xfId="0" applyNumberFormat="1" applyFont="1"/>
    <xf numFmtId="2" fontId="6" fillId="0" borderId="0" xfId="0" applyNumberFormat="1" applyFont="1"/>
    <xf numFmtId="11" fontId="6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11" fontId="12" fillId="0" borderId="0" xfId="0" applyNumberFormat="1" applyFont="1" applyAlignment="1">
      <alignment vertical="center"/>
    </xf>
    <xf numFmtId="167" fontId="6" fillId="0" borderId="0" xfId="0" applyNumberFormat="1" applyFont="1"/>
    <xf numFmtId="2" fontId="11" fillId="0" borderId="0" xfId="0" applyNumberFormat="1" applyFont="1"/>
    <xf numFmtId="11" fontId="11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1" fontId="13" fillId="0" borderId="0" xfId="0" applyNumberFormat="1" applyFont="1" applyAlignment="1">
      <alignment vertical="center"/>
    </xf>
    <xf numFmtId="0" fontId="14" fillId="0" borderId="0" xfId="0" applyFont="1"/>
    <xf numFmtId="11" fontId="14" fillId="0" borderId="0" xfId="0" applyNumberFormat="1" applyFont="1"/>
    <xf numFmtId="2" fontId="14" fillId="0" borderId="0" xfId="0" applyNumberFormat="1" applyFont="1"/>
    <xf numFmtId="11" fontId="14" fillId="0" borderId="0" xfId="0" applyNumberFormat="1" applyFont="1" applyAlignment="1">
      <alignment vertical="center"/>
    </xf>
    <xf numFmtId="0" fontId="15" fillId="0" borderId="0" xfId="0" applyNumberFormat="1" applyFont="1" applyAlignment="1">
      <alignment vertical="center"/>
    </xf>
    <xf numFmtId="11" fontId="15" fillId="0" borderId="0" xfId="0" applyNumberFormat="1" applyFont="1" applyAlignment="1">
      <alignment vertical="center"/>
    </xf>
    <xf numFmtId="2" fontId="16" fillId="0" borderId="0" xfId="0" applyNumberFormat="1" applyFont="1"/>
    <xf numFmtId="11" fontId="16" fillId="0" borderId="0" xfId="0" applyNumberFormat="1" applyFont="1"/>
    <xf numFmtId="11" fontId="16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11" fontId="17" fillId="0" borderId="0" xfId="0" applyNumberFormat="1" applyFont="1" applyAlignment="1">
      <alignment vertical="center"/>
    </xf>
    <xf numFmtId="0" fontId="16" fillId="0" borderId="0" xfId="0" applyFont="1"/>
    <xf numFmtId="11" fontId="10" fillId="0" borderId="0" xfId="0" applyNumberFormat="1" applyFont="1"/>
    <xf numFmtId="2" fontId="10" fillId="0" borderId="0" xfId="0" applyNumberFormat="1" applyFont="1"/>
    <xf numFmtId="11" fontId="10" fillId="0" borderId="0" xfId="0" applyNumberFormat="1" applyFont="1" applyAlignment="1">
      <alignment vertical="center"/>
    </xf>
    <xf numFmtId="11" fontId="18" fillId="0" borderId="0" xfId="0" applyNumberFormat="1" applyFont="1" applyAlignment="1">
      <alignment vertical="center"/>
    </xf>
    <xf numFmtId="0" fontId="19" fillId="0" borderId="0" xfId="0" applyFont="1"/>
    <xf numFmtId="11" fontId="19" fillId="0" borderId="0" xfId="0" applyNumberFormat="1" applyFont="1"/>
    <xf numFmtId="2" fontId="19" fillId="0" borderId="0" xfId="0" applyNumberFormat="1" applyFont="1"/>
    <xf numFmtId="11" fontId="19" fillId="0" borderId="0" xfId="0" applyNumberFormat="1" applyFont="1" applyAlignment="1">
      <alignment vertical="center"/>
    </xf>
    <xf numFmtId="0" fontId="20" fillId="0" borderId="0" xfId="0" applyNumberFormat="1" applyFont="1" applyAlignment="1">
      <alignment vertical="center"/>
    </xf>
    <xf numFmtId="11" fontId="20" fillId="0" borderId="0" xfId="0" applyNumberFormat="1" applyFont="1" applyAlignment="1">
      <alignment vertical="center"/>
    </xf>
    <xf numFmtId="2" fontId="21" fillId="0" borderId="0" xfId="0" applyNumberFormat="1" applyFont="1"/>
    <xf numFmtId="11" fontId="21" fillId="0" borderId="0" xfId="0" applyNumberFormat="1" applyFont="1"/>
    <xf numFmtId="11" fontId="21" fillId="0" borderId="0" xfId="0" applyNumberFormat="1" applyFont="1" applyAlignment="1">
      <alignment vertical="center"/>
    </xf>
    <xf numFmtId="0" fontId="22" fillId="0" borderId="0" xfId="0" applyNumberFormat="1" applyFont="1" applyAlignment="1">
      <alignment vertical="center"/>
    </xf>
    <xf numFmtId="11" fontId="22" fillId="0" borderId="0" xfId="0" applyNumberFormat="1" applyFont="1" applyAlignment="1">
      <alignment vertical="center"/>
    </xf>
    <xf numFmtId="0" fontId="21" fillId="0" borderId="0" xfId="0" applyFont="1"/>
    <xf numFmtId="1" fontId="10" fillId="0" borderId="0" xfId="0" applyNumberFormat="1" applyFont="1"/>
    <xf numFmtId="0" fontId="23" fillId="0" borderId="0" xfId="0" applyFont="1"/>
    <xf numFmtId="0" fontId="23" fillId="0" borderId="0" xfId="0" applyNumberFormat="1" applyFont="1"/>
    <xf numFmtId="11" fontId="23" fillId="0" borderId="0" xfId="0" applyNumberFormat="1" applyFont="1"/>
    <xf numFmtId="2" fontId="23" fillId="0" borderId="0" xfId="0" applyNumberFormat="1" applyFont="1"/>
    <xf numFmtId="11" fontId="23" fillId="0" borderId="0" xfId="0" applyNumberFormat="1" applyFont="1" applyAlignment="1">
      <alignment vertical="center"/>
    </xf>
    <xf numFmtId="11" fontId="24" fillId="0" borderId="0" xfId="0" applyNumberFormat="1" applyFont="1" applyAlignment="1">
      <alignment vertical="center"/>
    </xf>
    <xf numFmtId="0" fontId="25" fillId="0" borderId="0" xfId="0" applyFont="1"/>
    <xf numFmtId="0" fontId="25" fillId="0" borderId="0" xfId="0" applyNumberFormat="1" applyFont="1"/>
    <xf numFmtId="11" fontId="25" fillId="0" borderId="0" xfId="0" applyNumberFormat="1" applyFont="1"/>
    <xf numFmtId="2" fontId="25" fillId="0" borderId="0" xfId="0" applyNumberFormat="1" applyFont="1"/>
    <xf numFmtId="11" fontId="25" fillId="0" borderId="0" xfId="0" applyNumberFormat="1" applyFont="1" applyAlignment="1">
      <alignment vertical="center"/>
    </xf>
    <xf numFmtId="11" fontId="26" fillId="0" borderId="0" xfId="0" applyNumberFormat="1" applyFont="1" applyAlignment="1">
      <alignment vertical="center"/>
    </xf>
    <xf numFmtId="11" fontId="27" fillId="0" borderId="0" xfId="0" applyNumberFormat="1" applyFont="1"/>
    <xf numFmtId="0" fontId="28" fillId="0" borderId="0" xfId="0" applyFont="1"/>
    <xf numFmtId="0" fontId="27" fillId="0" borderId="0" xfId="0" applyFont="1"/>
    <xf numFmtId="11" fontId="23" fillId="2" borderId="0" xfId="0" applyNumberFormat="1" applyFont="1" applyFill="1"/>
    <xf numFmtId="11" fontId="29" fillId="3" borderId="2" xfId="0" applyNumberFormat="1" applyFont="1" applyFill="1" applyBorder="1" applyAlignment="1">
      <alignment horizontal="right" vertical="center"/>
    </xf>
    <xf numFmtId="0" fontId="29" fillId="3" borderId="2" xfId="0" applyFont="1" applyFill="1" applyBorder="1" applyAlignment="1">
      <alignment horizontal="right" vertical="center"/>
    </xf>
    <xf numFmtId="0" fontId="29" fillId="3" borderId="2" xfId="0" applyFont="1" applyFill="1" applyBorder="1" applyAlignment="1">
      <alignment vertical="center"/>
    </xf>
    <xf numFmtId="2" fontId="9" fillId="0" borderId="0" xfId="0" applyNumberFormat="1" applyFont="1"/>
    <xf numFmtId="2" fontId="30" fillId="0" borderId="0" xfId="0" applyNumberFormat="1" applyFont="1"/>
    <xf numFmtId="11" fontId="30" fillId="0" borderId="0" xfId="0" applyNumberFormat="1" applyFont="1"/>
    <xf numFmtId="11" fontId="30" fillId="0" borderId="0" xfId="0" applyNumberFormat="1" applyFont="1" applyAlignment="1">
      <alignment vertical="center"/>
    </xf>
    <xf numFmtId="0" fontId="30" fillId="0" borderId="0" xfId="0" applyFont="1"/>
    <xf numFmtId="11" fontId="31" fillId="0" borderId="0" xfId="0" applyNumberFormat="1" applyFont="1" applyAlignment="1">
      <alignment vertical="center"/>
    </xf>
    <xf numFmtId="11" fontId="30" fillId="2" borderId="0" xfId="0" applyNumberFormat="1" applyFont="1" applyFill="1"/>
    <xf numFmtId="0" fontId="32" fillId="0" borderId="0" xfId="0" applyFont="1"/>
    <xf numFmtId="11" fontId="6" fillId="0" borderId="1" xfId="0" applyNumberFormat="1" applyFont="1" applyBorder="1"/>
    <xf numFmtId="11" fontId="0" fillId="0" borderId="0" xfId="0" quotePrefix="1" applyNumberFormat="1"/>
    <xf numFmtId="11" fontId="10" fillId="2" borderId="0" xfId="0" applyNumberFormat="1" applyFont="1" applyFill="1"/>
    <xf numFmtId="11" fontId="33" fillId="0" borderId="0" xfId="0" applyNumberFormat="1" applyFont="1"/>
    <xf numFmtId="11" fontId="25" fillId="2" borderId="0" xfId="0" applyNumberFormat="1" applyFont="1" applyFill="1"/>
    <xf numFmtId="11" fontId="14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77923695390449"/>
          <c:y val="0.10109467248797288"/>
          <c:w val="0.73154507378141875"/>
          <c:h val="0.74746938412359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'H+O2+M Troe-HPMech-Orginal'!$W$6</c:f>
              <c:strCache>
                <c:ptCount val="1"/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'H+O2+M Troe-HPMech-Orginal'!$N$7:$N$19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'H+O2+M Troe-HPMech-Orginal'!$W$7:$W$19</c:f>
              <c:numCache>
                <c:formatCode>General</c:formatCode>
                <c:ptCount val="1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10-4B83-8ACF-A935EA60A93F}"/>
            </c:ext>
          </c:extLst>
        </c:ser>
        <c:ser>
          <c:idx val="1"/>
          <c:order val="1"/>
          <c:tx>
            <c:strRef>
              <c:f>'H+O2+AR-Burke'!$M$6</c:f>
              <c:strCache>
                <c:ptCount val="1"/>
                <c:pt idx="0">
                  <c:v>k0-Burke Model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'H+O2+M Troe-HPMech-Orginal'!$N$7:$N$19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'H+O2+M Troe-HPMech-Orginal'!$X$7:$X$19</c:f>
              <c:numCache>
                <c:formatCode>0.00E+00</c:formatCode>
                <c:ptCount val="13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510-4B83-8ACF-A935EA60A93F}"/>
            </c:ext>
          </c:extLst>
        </c:ser>
        <c:ser>
          <c:idx val="2"/>
          <c:order val="2"/>
          <c:tx>
            <c:strRef>
              <c:f>'H+O2+M Troe-HPMech-Orginal'!$M$5</c:f>
              <c:strCache>
                <c:ptCount val="1"/>
                <c:pt idx="0">
                  <c:v>k0-HPMech</c:v>
                </c:pt>
              </c:strCache>
            </c:strRef>
          </c:tx>
          <c:marker>
            <c:symbol val="none"/>
          </c:marker>
          <c:xVal>
            <c:numRef>
              <c:f>'H+O2+M Troe-HPMech-Orginal'!$N$7:$N$19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'H+O2+M Troe-HPMech-Orginal'!$M$7:$M$19</c:f>
              <c:numCache>
                <c:formatCode>0.00E+00</c:formatCode>
                <c:ptCount val="13"/>
                <c:pt idx="0">
                  <c:v>8381455755030811</c:v>
                </c:pt>
                <c:pt idx="1">
                  <c:v>6323153790634473</c:v>
                </c:pt>
                <c:pt idx="2">
                  <c:v>5005866714251614</c:v>
                </c:pt>
                <c:pt idx="3">
                  <c:v>4104244575467262</c:v>
                </c:pt>
                <c:pt idx="4">
                  <c:v>3454330486661539.5</c:v>
                </c:pt>
                <c:pt idx="5">
                  <c:v>2966712811384449</c:v>
                </c:pt>
                <c:pt idx="6">
                  <c:v>2589115224117070.5</c:v>
                </c:pt>
                <c:pt idx="7">
                  <c:v>2289168894006587.5</c:v>
                </c:pt>
                <c:pt idx="8">
                  <c:v>2045865571036453.2</c:v>
                </c:pt>
                <c:pt idx="9">
                  <c:v>1845028084807765</c:v>
                </c:pt>
                <c:pt idx="10">
                  <c:v>1676770953027950.5</c:v>
                </c:pt>
                <c:pt idx="11">
                  <c:v>1411532582472170.2</c:v>
                </c:pt>
                <c:pt idx="12">
                  <c:v>1131201010267843.2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10-4B83-8ACF-A935EA60A93F}"/>
            </c:ext>
          </c:extLst>
        </c:ser>
        <c:ser>
          <c:idx val="3"/>
          <c:order val="3"/>
          <c:tx>
            <c:strRef>
              <c:f>'H+O2+AR-USC-Mech II'!$M$6</c:f>
              <c:strCache>
                <c:ptCount val="1"/>
                <c:pt idx="0">
                  <c:v>k0-USC Mech II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'H+O2+AR-USC-Mech II'!$N$7:$N$19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II'!$M$7:$M$19</c:f>
              <c:numCache>
                <c:formatCode>0.00E+00</c:formatCode>
                <c:ptCount val="13"/>
                <c:pt idx="0">
                  <c:v>8617012148178210</c:v>
                </c:pt>
                <c:pt idx="1">
                  <c:v>5760265138374527</c:v>
                </c:pt>
                <c:pt idx="2">
                  <c:v>4214717357151247.5</c:v>
                </c:pt>
                <c:pt idx="3">
                  <c:v>3265237016703768.5</c:v>
                </c:pt>
                <c:pt idx="4">
                  <c:v>2631414150541575.5</c:v>
                </c:pt>
                <c:pt idx="5">
                  <c:v>2182732324431645</c:v>
                </c:pt>
                <c:pt idx="6">
                  <c:v>1850917018424111</c:v>
                </c:pt>
                <c:pt idx="7">
                  <c:v>1597079230348266.7</c:v>
                </c:pt>
                <c:pt idx="8">
                  <c:v>1397580082145777.5</c:v>
                </c:pt>
                <c:pt idx="9">
                  <c:v>1237293459950222.7</c:v>
                </c:pt>
                <c:pt idx="10">
                  <c:v>1106128974460854.9</c:v>
                </c:pt>
                <c:pt idx="11">
                  <c:v>905312879923004.25</c:v>
                </c:pt>
                <c:pt idx="12">
                  <c:v>701366397015364.12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10-4B83-8ACF-A935EA60A93F}"/>
            </c:ext>
          </c:extLst>
        </c:ser>
        <c:ser>
          <c:idx val="4"/>
          <c:order val="4"/>
          <c:tx>
            <c:strRef>
              <c:f>'H+O2+AR-Aramco'!$M$6</c:f>
              <c:strCache>
                <c:ptCount val="1"/>
                <c:pt idx="0">
                  <c:v>k0-Aramco Mech</c:v>
                </c:pt>
              </c:strCache>
            </c:strRef>
          </c:tx>
          <c:marker>
            <c:symbol val="none"/>
          </c:marker>
          <c:xVal>
            <c:numRef>
              <c:f>'H+O2+AR-Aramco'!$N$7:$N$19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'H+O2+AR-Aramco'!$M$7:$M$19</c:f>
              <c:numCache>
                <c:formatCode>0.00E+00</c:formatCode>
                <c:ptCount val="13"/>
                <c:pt idx="0">
                  <c:v>7254401800723988</c:v>
                </c:pt>
                <c:pt idx="1">
                  <c:v>5136592606484073</c:v>
                </c:pt>
                <c:pt idx="2">
                  <c:v>3929914543691253</c:v>
                </c:pt>
                <c:pt idx="3">
                  <c:v>3157661786998342</c:v>
                </c:pt>
                <c:pt idx="4">
                  <c:v>2624396584615640</c:v>
                </c:pt>
                <c:pt idx="5">
                  <c:v>2235831793498709.7</c:v>
                </c:pt>
                <c:pt idx="6">
                  <c:v>1941136610383132.7</c:v>
                </c:pt>
                <c:pt idx="7">
                  <c:v>1710594659858025.2</c:v>
                </c:pt>
                <c:pt idx="8">
                  <c:v>1525723690433896.2</c:v>
                </c:pt>
                <c:pt idx="9">
                  <c:v>1374452123685025</c:v>
                </c:pt>
                <c:pt idx="10">
                  <c:v>1248576305990238</c:v>
                </c:pt>
                <c:pt idx="11">
                  <c:v>1051568579462320.1</c:v>
                </c:pt>
                <c:pt idx="12">
                  <c:v>844928784801882.5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10-4B83-8ACF-A935EA60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30112"/>
        <c:axId val="200732032"/>
      </c:scatterChart>
      <c:valAx>
        <c:axId val="200730112"/>
        <c:scaling>
          <c:orientation val="minMax"/>
          <c:max val="35"/>
          <c:min val="4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10000/T (K)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732032"/>
        <c:crosses val="autoZero"/>
        <c:crossBetween val="midCat"/>
        <c:majorUnit val="5"/>
      </c:valAx>
      <c:valAx>
        <c:axId val="200732032"/>
        <c:scaling>
          <c:orientation val="minMax"/>
        </c:scaling>
        <c:delete val="0"/>
        <c:axPos val="l"/>
        <c:numFmt formatCode="0.0E+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0730112"/>
        <c:crosses val="autoZero"/>
        <c:crossBetween val="midCat"/>
        <c:majorUnit val="2000000000000000"/>
      </c:valAx>
      <c:spPr>
        <a:ln w="38100">
          <a:solidFill>
            <a:schemeClr val="tx1"/>
          </a:solidFill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23137024941302375"/>
          <c:y val="0.13663657508913082"/>
          <c:w val="0.40426243951491997"/>
          <c:h val="0.25538089518471213"/>
        </c:manualLayout>
      </c:layout>
      <c:overlay val="0"/>
      <c:txPr>
        <a:bodyPr/>
        <a:lstStyle/>
        <a:p>
          <a:pPr>
            <a:defRPr sz="2000" b="0" i="0" u="none" strike="noStrike" baseline="0">
              <a:solidFill>
                <a:srgbClr val="000000"/>
              </a:solidFill>
              <a:latin typeface="+mn-lt"/>
              <a:ea typeface="Calibri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H+O2+AR=HO2+AR</a:t>
            </a:r>
          </a:p>
        </c:rich>
      </c:tx>
      <c:layout>
        <c:manualLayout>
          <c:xMode val="edge"/>
          <c:yMode val="edge"/>
          <c:x val="0.38468335022478628"/>
          <c:y val="6.46464646464646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848999277175857"/>
          <c:y val="0.12230796150481189"/>
          <c:w val="0.60262341624542348"/>
          <c:h val="0.73908247832657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'H+O2+AR-Aramco'!$R$6</c:f>
              <c:strCache>
                <c:ptCount val="1"/>
                <c:pt idx="0">
                  <c:v>100-Aramco Mech</c:v>
                </c:pt>
              </c:strCache>
            </c:strRef>
          </c:tx>
          <c:spPr>
            <a:ln>
              <a:solidFill>
                <a:schemeClr val="tx2"/>
              </a:solidFill>
              <a:prstDash val="dashDot"/>
            </a:ln>
          </c:spPr>
          <c:marker>
            <c:symbol val="none"/>
          </c:marker>
          <c:xVal>
            <c:numRef>
              <c:f>'H+O2+AR-Aramco'!$N$7:$N$19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'H+O2+AR-Aramco'!$Q$7:$Q$19</c:f>
              <c:numCache>
                <c:formatCode>0.00E+00</c:formatCode>
                <c:ptCount val="13"/>
                <c:pt idx="0">
                  <c:v>36786352304.981842</c:v>
                </c:pt>
                <c:pt idx="1">
                  <c:v>19641199816.97958</c:v>
                </c:pt>
                <c:pt idx="2">
                  <c:v>12062755102.399603</c:v>
                </c:pt>
                <c:pt idx="3">
                  <c:v>8096385328.2258453</c:v>
                </c:pt>
                <c:pt idx="4">
                  <c:v>5778236791.1472864</c:v>
                </c:pt>
                <c:pt idx="5">
                  <c:v>4313549668.7731695</c:v>
                </c:pt>
                <c:pt idx="6">
                  <c:v>3332782661.8617096</c:v>
                </c:pt>
                <c:pt idx="7">
                  <c:v>2645852911.2811227</c:v>
                </c:pt>
                <c:pt idx="8">
                  <c:v>2147162455.0543017</c:v>
                </c:pt>
                <c:pt idx="9">
                  <c:v>1774373778.816386</c:v>
                </c:pt>
                <c:pt idx="10">
                  <c:v>1488830892.5473726</c:v>
                </c:pt>
                <c:pt idx="11">
                  <c:v>1087894007.8217897</c:v>
                </c:pt>
                <c:pt idx="12">
                  <c:v>729347794.86872458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15-4C61-A90C-0D8CEDE9DC4F}"/>
            </c:ext>
          </c:extLst>
        </c:ser>
        <c:ser>
          <c:idx val="1"/>
          <c:order val="1"/>
          <c:tx>
            <c:strRef>
              <c:f>'H+O2+AR-Aramco'!$R$34</c:f>
              <c:strCache>
                <c:ptCount val="1"/>
                <c:pt idx="0">
                  <c:v>760-Aramco Mech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'H+O2+AR-Aramco'!$N$35:$N$47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'H+O2+AR-Aramco'!$Q$35:$Q$47</c:f>
              <c:numCache>
                <c:formatCode>0.00E+00</c:formatCode>
                <c:ptCount val="13"/>
                <c:pt idx="0">
                  <c:v>272611675469.23627</c:v>
                </c:pt>
                <c:pt idx="1">
                  <c:v>146537359366.78442</c:v>
                </c:pt>
                <c:pt idx="2">
                  <c:v>90311351056.898056</c:v>
                </c:pt>
                <c:pt idx="3">
                  <c:v>60745955785.684914</c:v>
                </c:pt>
                <c:pt idx="4">
                  <c:v>43416523555.549706</c:v>
                </c:pt>
                <c:pt idx="5">
                  <c:v>32445671332.760941</c:v>
                </c:pt>
                <c:pt idx="6">
                  <c:v>25088990319.048218</c:v>
                </c:pt>
                <c:pt idx="7">
                  <c:v>19930738210.188095</c:v>
                </c:pt>
                <c:pt idx="8">
                  <c:v>16182761140.909922</c:v>
                </c:pt>
                <c:pt idx="9">
                  <c:v>13379041460.682661</c:v>
                </c:pt>
                <c:pt idx="10">
                  <c:v>11230230983.394226</c:v>
                </c:pt>
                <c:pt idx="11">
                  <c:v>8210964698.235281</c:v>
                </c:pt>
                <c:pt idx="12">
                  <c:v>5508521690.8997917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515-4C61-A90C-0D8CEDE9DC4F}"/>
            </c:ext>
          </c:extLst>
        </c:ser>
        <c:ser>
          <c:idx val="2"/>
          <c:order val="2"/>
          <c:tx>
            <c:strRef>
              <c:f>'H+O2+AR-Aramco'!$R$62</c:f>
              <c:strCache>
                <c:ptCount val="1"/>
                <c:pt idx="0">
                  <c:v>3800-Aramco Mech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'H+O2+AR-Aramco'!$N$63:$N$75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'H+O2+AR-Aramco'!$Q$63:$Q$75</c:f>
              <c:numCache>
                <c:formatCode>0.00E+00</c:formatCode>
                <c:ptCount val="13"/>
                <c:pt idx="0">
                  <c:v>1294440864117.2124</c:v>
                </c:pt>
                <c:pt idx="1">
                  <c:v>708865153326.02283</c:v>
                </c:pt>
                <c:pt idx="2">
                  <c:v>440666828203.36133</c:v>
                </c:pt>
                <c:pt idx="3">
                  <c:v>297842445634.40533</c:v>
                </c:pt>
                <c:pt idx="4">
                  <c:v>213526033665.98825</c:v>
                </c:pt>
                <c:pt idx="5">
                  <c:v>159905061901.7272</c:v>
                </c:pt>
                <c:pt idx="6">
                  <c:v>123837104813.3329</c:v>
                </c:pt>
                <c:pt idx="7">
                  <c:v>98490664717.673325</c:v>
                </c:pt>
                <c:pt idx="8">
                  <c:v>80042668114.134888</c:v>
                </c:pt>
                <c:pt idx="9">
                  <c:v>66224042746.193115</c:v>
                </c:pt>
                <c:pt idx="10">
                  <c:v>55621900482.749771</c:v>
                </c:pt>
                <c:pt idx="11">
                  <c:v>40706934511.626839</c:v>
                </c:pt>
                <c:pt idx="12">
                  <c:v>27337068002.144741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515-4C61-A90C-0D8CEDE9DC4F}"/>
            </c:ext>
          </c:extLst>
        </c:ser>
        <c:ser>
          <c:idx val="3"/>
          <c:order val="3"/>
          <c:tx>
            <c:strRef>
              <c:f>'H+O2+AR-Aramco'!$R$76</c:f>
              <c:strCache>
                <c:ptCount val="1"/>
                <c:pt idx="0">
                  <c:v>7600-Aramco Mech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'H+O2+AR-Aramco'!$N$77:$N$89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'H+O2+AR-Aramco'!$Q$77:$Q$89</c:f>
              <c:numCache>
                <c:formatCode>0.00E+00</c:formatCode>
                <c:ptCount val="13"/>
                <c:pt idx="0">
                  <c:v>2471655443811.8999</c:v>
                </c:pt>
                <c:pt idx="1">
                  <c:v>1379437714180.3569</c:v>
                </c:pt>
                <c:pt idx="2">
                  <c:v>864827207306.72266</c:v>
                </c:pt>
                <c:pt idx="3">
                  <c:v>587189942038.66125</c:v>
                </c:pt>
                <c:pt idx="4">
                  <c:v>422121483664.37695</c:v>
                </c:pt>
                <c:pt idx="5">
                  <c:v>316692074664.63995</c:v>
                </c:pt>
                <c:pt idx="6">
                  <c:v>245572766762.4606</c:v>
                </c:pt>
                <c:pt idx="7">
                  <c:v>195494158104.98029</c:v>
                </c:pt>
                <c:pt idx="8">
                  <c:v>158991586409.70596</c:v>
                </c:pt>
                <c:pt idx="9">
                  <c:v>131618336907.82425</c:v>
                </c:pt>
                <c:pt idx="10">
                  <c:v>110598084297.62703</c:v>
                </c:pt>
                <c:pt idx="11">
                  <c:v>80998402328.733231</c:v>
                </c:pt>
                <c:pt idx="12">
                  <c:v>54434358713.794502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515-4C61-A90C-0D8CEDE9DC4F}"/>
            </c:ext>
          </c:extLst>
        </c:ser>
        <c:ser>
          <c:idx val="4"/>
          <c:order val="4"/>
          <c:tx>
            <c:strRef>
              <c:f>'H+O2+AR-Aramco'!$R$90</c:f>
              <c:strCache>
                <c:ptCount val="1"/>
                <c:pt idx="0">
                  <c:v>22800-Aramco Mech</c:v>
                </c:pt>
              </c:strCache>
            </c:strRef>
          </c:tx>
          <c:spPr>
            <a:ln>
              <a:solidFill>
                <a:srgbClr val="00B050"/>
              </a:solidFill>
              <a:prstDash val="dashDot"/>
            </a:ln>
          </c:spPr>
          <c:marker>
            <c:symbol val="none"/>
          </c:marker>
          <c:xVal>
            <c:numRef>
              <c:f>'H+O2+AR-Aramco'!$N$91:$N$103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'H+O2+AR-Aramco'!$Q$91:$Q$103</c:f>
              <c:numCache>
                <c:formatCode>0.00E+00</c:formatCode>
                <c:ptCount val="13"/>
                <c:pt idx="0">
                  <c:v>6412307594240.6807</c:v>
                </c:pt>
                <c:pt idx="1">
                  <c:v>3810422736182.8984</c:v>
                </c:pt>
                <c:pt idx="2">
                  <c:v>2457448237732.6445</c:v>
                </c:pt>
                <c:pt idx="3">
                  <c:v>1693606348596.374</c:v>
                </c:pt>
                <c:pt idx="4">
                  <c:v>1228288891759.0186</c:v>
                </c:pt>
                <c:pt idx="5">
                  <c:v>926748078165.39661</c:v>
                </c:pt>
                <c:pt idx="6">
                  <c:v>721424630679.20496</c:v>
                </c:pt>
                <c:pt idx="7">
                  <c:v>575915135043.48938</c:v>
                </c:pt>
                <c:pt idx="8">
                  <c:v>469362047296.05701</c:v>
                </c:pt>
                <c:pt idx="9">
                  <c:v>389182430405.03589</c:v>
                </c:pt>
                <c:pt idx="10">
                  <c:v>327448188988.39648</c:v>
                </c:pt>
                <c:pt idx="11">
                  <c:v>240269783483.29459</c:v>
                </c:pt>
                <c:pt idx="12">
                  <c:v>161774487680.78638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515-4C61-A90C-0D8CEDE9DC4F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515-4C61-A90C-0D8CEDE9DC4F}"/>
            </c:ext>
          </c:extLst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515-4C61-A90C-0D8CEDE9DC4F}"/>
            </c:ext>
          </c:extLst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515-4C61-A90C-0D8CEDE9DC4F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515-4C61-A90C-0D8CEDE9DC4F}"/>
            </c:ext>
          </c:extLst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515-4C61-A90C-0D8CEDE9DC4F}"/>
            </c:ext>
          </c:extLst>
        </c:ser>
        <c:ser>
          <c:idx val="10"/>
          <c:order val="10"/>
          <c:tx>
            <c:strRef>
              <c:f>'H+O2+AR-USC-Mech II'!$R$6</c:f>
              <c:strCache>
                <c:ptCount val="1"/>
                <c:pt idx="0">
                  <c:v>100-USC Mech II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xVal>
            <c:numRef>
              <c:f>'H+O2+AR-USC-Mech II'!$N$7:$N$19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II'!$Q$7:$Q$19</c:f>
              <c:numCache>
                <c:formatCode>0.00E+00</c:formatCode>
                <c:ptCount val="13"/>
                <c:pt idx="0">
                  <c:v>40430548799.833847</c:v>
                </c:pt>
                <c:pt idx="1">
                  <c:v>20568808469.225048</c:v>
                </c:pt>
                <c:pt idx="2">
                  <c:v>12151831205.989042</c:v>
                </c:pt>
                <c:pt idx="3">
                  <c:v>7896475358.5977564</c:v>
                </c:pt>
                <c:pt idx="4">
                  <c:v>5481350438.6561117</c:v>
                </c:pt>
                <c:pt idx="5">
                  <c:v>3993757681.4530287</c:v>
                </c:pt>
                <c:pt idx="6">
                  <c:v>3019807542.6894546</c:v>
                </c:pt>
                <c:pt idx="7">
                  <c:v>2351255932.6803203</c:v>
                </c:pt>
                <c:pt idx="8">
                  <c:v>1874680388.1307163</c:v>
                </c:pt>
                <c:pt idx="9">
                  <c:v>1524312294.6868238</c:v>
                </c:pt>
                <c:pt idx="10">
                  <c:v>1260029777.907691</c:v>
                </c:pt>
                <c:pt idx="11">
                  <c:v>896317860.78372562</c:v>
                </c:pt>
                <c:pt idx="12">
                  <c:v>580589458.28800559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515-4C61-A90C-0D8CEDE9DC4F}"/>
            </c:ext>
          </c:extLst>
        </c:ser>
        <c:ser>
          <c:idx val="11"/>
          <c:order val="11"/>
          <c:tx>
            <c:strRef>
              <c:f>'H+O2+AR-USC-Mech II'!$R$34</c:f>
              <c:strCache>
                <c:ptCount val="1"/>
                <c:pt idx="0">
                  <c:v>760- USC Mech II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'H+O2+AR-USC-Mech II'!$N$35:$N$47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II'!$Q$35:$Q$47</c:f>
              <c:numCache>
                <c:formatCode>0.00E+00</c:formatCode>
                <c:ptCount val="13"/>
                <c:pt idx="0">
                  <c:v>289558927673.9325</c:v>
                </c:pt>
                <c:pt idx="1">
                  <c:v>149494228858.24384</c:v>
                </c:pt>
                <c:pt idx="2">
                  <c:v>89029007477.376678</c:v>
                </c:pt>
                <c:pt idx="3">
                  <c:v>58146566039.240097</c:v>
                </c:pt>
                <c:pt idx="4">
                  <c:v>40505029473.682594</c:v>
                </c:pt>
                <c:pt idx="5">
                  <c:v>29589401760.033161</c:v>
                </c:pt>
                <c:pt idx="6">
                  <c:v>22418722433.341068</c:v>
                </c:pt>
                <c:pt idx="7">
                  <c:v>17483707395.348289</c:v>
                </c:pt>
                <c:pt idx="8">
                  <c:v>13958459168.320112</c:v>
                </c:pt>
                <c:pt idx="9">
                  <c:v>11362337146.561012</c:v>
                </c:pt>
                <c:pt idx="10">
                  <c:v>9401275281.3478947</c:v>
                </c:pt>
                <c:pt idx="11">
                  <c:v>6697863278.165453</c:v>
                </c:pt>
                <c:pt idx="12">
                  <c:v>4345954162.1281805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515-4C61-A90C-0D8CEDE9DC4F}"/>
            </c:ext>
          </c:extLst>
        </c:ser>
        <c:ser>
          <c:idx val="12"/>
          <c:order val="12"/>
          <c:tx>
            <c:strRef>
              <c:f>'H+O2+AR-USC-Mech II'!$R$62</c:f>
              <c:strCache>
                <c:ptCount val="1"/>
                <c:pt idx="0">
                  <c:v>3800 USC Mech II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'H+O2+AR-USC-Mech II'!$N$63:$N$75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II'!$Q$63:$Q$75</c:f>
              <c:numCache>
                <c:formatCode>0.00E+00</c:formatCode>
                <c:ptCount val="13"/>
                <c:pt idx="0">
                  <c:v>1307152259652.7405</c:v>
                </c:pt>
                <c:pt idx="1">
                  <c:v>697207186942.92432</c:v>
                </c:pt>
                <c:pt idx="2">
                  <c:v>421942676189.8197</c:v>
                </c:pt>
                <c:pt idx="3">
                  <c:v>278197568412.8468</c:v>
                </c:pt>
                <c:pt idx="4">
                  <c:v>195000561773.24594</c:v>
                </c:pt>
                <c:pt idx="5">
                  <c:v>143077943642.33176</c:v>
                </c:pt>
                <c:pt idx="6">
                  <c:v>108761075072.30038</c:v>
                </c:pt>
                <c:pt idx="7">
                  <c:v>85036350865.797974</c:v>
                </c:pt>
                <c:pt idx="8">
                  <c:v>68029461970.791855</c:v>
                </c:pt>
                <c:pt idx="9">
                  <c:v>55469842963.437477</c:v>
                </c:pt>
                <c:pt idx="10">
                  <c:v>45960769190.232475</c:v>
                </c:pt>
                <c:pt idx="11">
                  <c:v>32817567468.982922</c:v>
                </c:pt>
                <c:pt idx="12">
                  <c:v>21345231623.624077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E515-4C61-A90C-0D8CEDE9DC4F}"/>
            </c:ext>
          </c:extLst>
        </c:ser>
        <c:ser>
          <c:idx val="13"/>
          <c:order val="13"/>
          <c:tx>
            <c:strRef>
              <c:f>'H+O2+AR-USC-Mech II'!$R$76</c:f>
              <c:strCache>
                <c:ptCount val="1"/>
                <c:pt idx="0">
                  <c:v>7600 USC Mech II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'H+O2+AR-USC-Mech II'!$N$77:$N$89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II'!$Q$77:$Q$89</c:f>
              <c:numCache>
                <c:formatCode>0.00E+00</c:formatCode>
                <c:ptCount val="13"/>
                <c:pt idx="0">
                  <c:v>2414105905607.21</c:v>
                </c:pt>
                <c:pt idx="1">
                  <c:v>1325472553172.3599</c:v>
                </c:pt>
                <c:pt idx="2">
                  <c:v>813227505446.31055</c:v>
                </c:pt>
                <c:pt idx="3">
                  <c:v>540329999804.02417</c:v>
                </c:pt>
                <c:pt idx="4">
                  <c:v>380588598948.07629</c:v>
                </c:pt>
                <c:pt idx="5">
                  <c:v>280182051201.39392</c:v>
                </c:pt>
                <c:pt idx="6">
                  <c:v>213497318312.63242</c:v>
                </c:pt>
                <c:pt idx="7">
                  <c:v>167232819879.96954</c:v>
                </c:pt>
                <c:pt idx="8">
                  <c:v>133980228193.1089</c:v>
                </c:pt>
                <c:pt idx="9">
                  <c:v>109372087389.5058</c:v>
                </c:pt>
                <c:pt idx="10">
                  <c:v>90709810218.331512</c:v>
                </c:pt>
                <c:pt idx="11">
                  <c:v>64866914434.009247</c:v>
                </c:pt>
                <c:pt idx="12">
                  <c:v>42257260983.105499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515-4C61-A90C-0D8CEDE9DC4F}"/>
            </c:ext>
          </c:extLst>
        </c:ser>
        <c:ser>
          <c:idx val="14"/>
          <c:order val="14"/>
          <c:tx>
            <c:strRef>
              <c:f>'H+O2+AR-USC-Mech II'!$R$90</c:f>
              <c:strCache>
                <c:ptCount val="1"/>
                <c:pt idx="0">
                  <c:v>22800 USC Mech II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'H+O2+AR-USC-Mech II'!$N$91:$N$103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II'!$Q$91:$Q$103</c:f>
              <c:numCache>
                <c:formatCode>0.00E+00</c:formatCode>
                <c:ptCount val="13"/>
                <c:pt idx="0">
                  <c:v>5822197697886.4902</c:v>
                </c:pt>
                <c:pt idx="1">
                  <c:v>3478426304534.1797</c:v>
                </c:pt>
                <c:pt idx="2">
                  <c:v>2222023400234.6553</c:v>
                </c:pt>
                <c:pt idx="3">
                  <c:v>1509569498662.9255</c:v>
                </c:pt>
                <c:pt idx="4">
                  <c:v>1077915274205.4681</c:v>
                </c:pt>
                <c:pt idx="5">
                  <c:v>800798092553.16162</c:v>
                </c:pt>
                <c:pt idx="6">
                  <c:v>614149810576.9989</c:v>
                </c:pt>
                <c:pt idx="7">
                  <c:v>483370340029.57776</c:v>
                </c:pt>
                <c:pt idx="8">
                  <c:v>388684691854.49939</c:v>
                </c:pt>
                <c:pt idx="9">
                  <c:v>318221934216.06146</c:v>
                </c:pt>
                <c:pt idx="10">
                  <c:v>264549255110.12094</c:v>
                </c:pt>
                <c:pt idx="11">
                  <c:v>189865130127.07217</c:v>
                </c:pt>
                <c:pt idx="12">
                  <c:v>124145155378.03281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E515-4C61-A90C-0D8CEDE9DC4F}"/>
            </c:ext>
          </c:extLst>
        </c:ser>
        <c:ser>
          <c:idx val="15"/>
          <c:order val="15"/>
          <c:tx>
            <c:strRef>
              <c:f>'H+O2+AR-Burke'!$R$6</c:f>
              <c:strCache>
                <c:ptCount val="1"/>
                <c:pt idx="0">
                  <c:v>100-Burke</c:v>
                </c:pt>
              </c:strCache>
            </c:strRef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'H+O2+AR-Burke'!$N$7:$N$19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'H+O2+AR-Burke'!$Q$7:$Q$19</c:f>
              <c:numCache>
                <c:formatCode>0.00E+00</c:formatCode>
                <c:ptCount val="13"/>
                <c:pt idx="0">
                  <c:v>35960913577.458977</c:v>
                </c:pt>
                <c:pt idx="1">
                  <c:v>21786935552.710533</c:v>
                </c:pt>
                <c:pt idx="2">
                  <c:v>14232316070.591728</c:v>
                </c:pt>
                <c:pt idx="3">
                  <c:v>9859290628.9619179</c:v>
                </c:pt>
                <c:pt idx="4">
                  <c:v>7147813929.9909363</c:v>
                </c:pt>
                <c:pt idx="5">
                  <c:v>5371362099.4971733</c:v>
                </c:pt>
                <c:pt idx="6">
                  <c:v>4154681855.7421303</c:v>
                </c:pt>
                <c:pt idx="7">
                  <c:v>3290607818.5989876</c:v>
                </c:pt>
                <c:pt idx="8">
                  <c:v>2658205843.342989</c:v>
                </c:pt>
                <c:pt idx="9">
                  <c:v>2183493399.1770835</c:v>
                </c:pt>
                <c:pt idx="10">
                  <c:v>1819379914.9689994</c:v>
                </c:pt>
                <c:pt idx="11">
                  <c:v>1308904773.1148877</c:v>
                </c:pt>
                <c:pt idx="12">
                  <c:v>855975514.10154843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E515-4C61-A90C-0D8CEDE9DC4F}"/>
            </c:ext>
          </c:extLst>
        </c:ser>
        <c:ser>
          <c:idx val="16"/>
          <c:order val="16"/>
          <c:tx>
            <c:strRef>
              <c:f>'H+O2+AR-Burke'!$R$34</c:f>
              <c:strCache>
                <c:ptCount val="1"/>
                <c:pt idx="0">
                  <c:v>760- Burke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'H+O2+AR-Burke'!$N$35:$N$47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'H+O2+AR-Burke'!$Q$35:$Q$47</c:f>
              <c:numCache>
                <c:formatCode>0.00E+00</c:formatCode>
                <c:ptCount val="13"/>
                <c:pt idx="0">
                  <c:v>257672950800.34665</c:v>
                </c:pt>
                <c:pt idx="1">
                  <c:v>157975142997.94589</c:v>
                </c:pt>
                <c:pt idx="2">
                  <c:v>103962229559.14285</c:v>
                </c:pt>
                <c:pt idx="3">
                  <c:v>72381430411.476288</c:v>
                </c:pt>
                <c:pt idx="4">
                  <c:v>52666837741.621155</c:v>
                </c:pt>
                <c:pt idx="5">
                  <c:v>39687361932.464264</c:v>
                </c:pt>
                <c:pt idx="6">
                  <c:v>30764851292.2318</c:v>
                </c:pt>
                <c:pt idx="7">
                  <c:v>24409729052.214855</c:v>
                </c:pt>
                <c:pt idx="8">
                  <c:v>19747576680.023521</c:v>
                </c:pt>
                <c:pt idx="9">
                  <c:v>16241128204.690947</c:v>
                </c:pt>
                <c:pt idx="10">
                  <c:v>13547211713.584427</c:v>
                </c:pt>
                <c:pt idx="11">
                  <c:v>9763110447.5654526</c:v>
                </c:pt>
                <c:pt idx="12">
                  <c:v>6397100926.3707857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515-4C61-A90C-0D8CEDE9DC4F}"/>
            </c:ext>
          </c:extLst>
        </c:ser>
        <c:ser>
          <c:idx val="17"/>
          <c:order val="17"/>
          <c:tx>
            <c:strRef>
              <c:f>'H+O2+AR-Burke'!$R$62</c:f>
              <c:strCache>
                <c:ptCount val="1"/>
                <c:pt idx="0">
                  <c:v>3800 Burke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'H+O2+AR-Burke'!$N$63:$N$75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'H+O2+AR-Burke'!$Q$63:$Q$75</c:f>
              <c:numCache>
                <c:formatCode>0.00E+00</c:formatCode>
                <c:ptCount val="13"/>
                <c:pt idx="0">
                  <c:v>1164520362421.6492</c:v>
                </c:pt>
                <c:pt idx="1">
                  <c:v>733103484972.17725</c:v>
                </c:pt>
                <c:pt idx="2">
                  <c:v>489860768373.14191</c:v>
                </c:pt>
                <c:pt idx="3">
                  <c:v>344385250273.66663</c:v>
                </c:pt>
                <c:pt idx="4">
                  <c:v>252265477455.29404</c:v>
                </c:pt>
                <c:pt idx="5">
                  <c:v>191023579334.66162</c:v>
                </c:pt>
                <c:pt idx="6">
                  <c:v>148626908363.07944</c:v>
                </c:pt>
                <c:pt idx="7">
                  <c:v>118268881560.72627</c:v>
                </c:pt>
                <c:pt idx="8">
                  <c:v>95905518190.758896</c:v>
                </c:pt>
                <c:pt idx="9">
                  <c:v>79029708553.947739</c:v>
                </c:pt>
                <c:pt idx="10">
                  <c:v>66028931164.984306</c:v>
                </c:pt>
                <c:pt idx="11">
                  <c:v>47709321615.229378</c:v>
                </c:pt>
                <c:pt idx="12">
                  <c:v>31348836151.736107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E515-4C61-A90C-0D8CEDE9DC4F}"/>
            </c:ext>
          </c:extLst>
        </c:ser>
        <c:ser>
          <c:idx val="18"/>
          <c:order val="18"/>
          <c:tx>
            <c:strRef>
              <c:f>'H+O2+AR-Burke'!$R$76</c:f>
              <c:strCache>
                <c:ptCount val="1"/>
                <c:pt idx="0">
                  <c:v>7600 Burke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'H+O2+AR-Burke'!$N$77:$N$89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'H+O2+AR-Burke'!$Q$77:$Q$89</c:f>
              <c:numCache>
                <c:formatCode>0.00E+00</c:formatCode>
                <c:ptCount val="13"/>
                <c:pt idx="0">
                  <c:v>2152869864697.8977</c:v>
                </c:pt>
                <c:pt idx="1">
                  <c:v>1387671287296.9041</c:v>
                </c:pt>
                <c:pt idx="2">
                  <c:v>939532965006.52979</c:v>
                </c:pt>
                <c:pt idx="3">
                  <c:v>665888373972.06091</c:v>
                </c:pt>
                <c:pt idx="4">
                  <c:v>490404134291.08386</c:v>
                </c:pt>
                <c:pt idx="5">
                  <c:v>372765694812.24097</c:v>
                </c:pt>
                <c:pt idx="6">
                  <c:v>290850670436.97009</c:v>
                </c:pt>
                <c:pt idx="7">
                  <c:v>231944144950.80585</c:v>
                </c:pt>
                <c:pt idx="8">
                  <c:v>188408694970.44354</c:v>
                </c:pt>
                <c:pt idx="9">
                  <c:v>155471784617.56168</c:v>
                </c:pt>
                <c:pt idx="10">
                  <c:v>130045481249.1955</c:v>
                </c:pt>
                <c:pt idx="11">
                  <c:v>94133493081.233154</c:v>
                </c:pt>
                <c:pt idx="12">
                  <c:v>61970265190.380257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E515-4C61-A90C-0D8CEDE9DC4F}"/>
            </c:ext>
          </c:extLst>
        </c:ser>
        <c:ser>
          <c:idx val="19"/>
          <c:order val="19"/>
          <c:tx>
            <c:strRef>
              <c:f>'H+O2+AR-Burke'!$R$90</c:f>
              <c:strCache>
                <c:ptCount val="1"/>
                <c:pt idx="0">
                  <c:v>22800 Burke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'H+O2+AR-Burke'!$N$91:$N$103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'H+O2+AR-Burke'!$Q$91:$Q$103</c:f>
              <c:numCache>
                <c:formatCode>0.00E+00</c:formatCode>
                <c:ptCount val="13"/>
                <c:pt idx="0">
                  <c:v>5207193882189.6582</c:v>
                </c:pt>
                <c:pt idx="1">
                  <c:v>3595173434071.8564</c:v>
                </c:pt>
                <c:pt idx="2">
                  <c:v>2530667905622.3203</c:v>
                </c:pt>
                <c:pt idx="3">
                  <c:v>1836547011922.1653</c:v>
                </c:pt>
                <c:pt idx="4">
                  <c:v>1373587796000.8958</c:v>
                </c:pt>
                <c:pt idx="5">
                  <c:v>1055281787610.2977</c:v>
                </c:pt>
                <c:pt idx="6">
                  <c:v>829766280627.63525</c:v>
                </c:pt>
                <c:pt idx="7">
                  <c:v>665567798972.40051</c:v>
                </c:pt>
                <c:pt idx="8">
                  <c:v>543086407762.39111</c:v>
                </c:pt>
                <c:pt idx="9">
                  <c:v>449759884329.02264</c:v>
                </c:pt>
                <c:pt idx="10">
                  <c:v>377307744786.20752</c:v>
                </c:pt>
                <c:pt idx="11">
                  <c:v>274338959474.99271</c:v>
                </c:pt>
                <c:pt idx="12">
                  <c:v>181431505549.7674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E515-4C61-A90C-0D8CEDE9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26144"/>
        <c:axId val="216328064"/>
      </c:scatterChart>
      <c:valAx>
        <c:axId val="216326144"/>
        <c:scaling>
          <c:orientation val="minMax"/>
          <c:max val="2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10000/T (K)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328064"/>
        <c:crosses val="autoZero"/>
        <c:crossBetween val="midCat"/>
      </c:valAx>
      <c:valAx>
        <c:axId val="216328064"/>
        <c:scaling>
          <c:logBase val="10"/>
          <c:orientation val="minMax"/>
          <c:min val="100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2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2000" b="1" i="0" u="none" strike="noStrike" baseline="0">
                    <a:solidFill>
                      <a:srgbClr val="000000"/>
                    </a:solidFill>
                    <a:latin typeface="Calibri"/>
                    <a:cs typeface="Times New Roman"/>
                  </a:rPr>
                  <a:t> (cm</a:t>
                </a:r>
                <a:r>
                  <a:rPr lang="en-US" sz="2000" b="1" i="0" u="none" strike="noStrike" baseline="30000">
                    <a:solidFill>
                      <a:srgbClr val="000000"/>
                    </a:solidFill>
                    <a:latin typeface="Calibri"/>
                    <a:cs typeface="Times New Roman"/>
                  </a:rPr>
                  <a:t>3</a:t>
                </a:r>
                <a:r>
                  <a:rPr lang="en-US" sz="2000" b="1" i="0" u="none" strike="noStrike" baseline="0">
                    <a:solidFill>
                      <a:srgbClr val="000000"/>
                    </a:solidFill>
                    <a:latin typeface="Calibri"/>
                    <a:cs typeface="Times New Roman"/>
                  </a:rPr>
                  <a:t>/mol/s)</a:t>
                </a:r>
                <a:endParaRPr lang="en-US" sz="2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overlay val="0"/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326144"/>
        <c:crosses val="autoZero"/>
        <c:crossBetween val="midCat"/>
      </c:valAx>
      <c:spPr>
        <a:ln w="381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377119376618166"/>
          <c:y val="0.10425785413186987"/>
          <c:w val="0.20622880623381828"/>
          <c:h val="0.84321689334287764"/>
        </c:manualLayout>
      </c:layout>
      <c:overlay val="0"/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62332616668422"/>
          <c:y val="0.12230796150481189"/>
          <c:w val="0.7316900815570595"/>
          <c:h val="0.737062276306370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'H+O2+AR-Aramco'!$P$6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solidFill>
                <a:schemeClr val="tx2"/>
              </a:solidFill>
              <a:prstDash val="dashDot"/>
            </a:ln>
          </c:spPr>
          <c:marker>
            <c:symbol val="none"/>
          </c:marker>
          <c:xVal>
            <c:numRef>
              <c:f>'H+O2+AR-Aramco'!$N$7:$N$19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'H+O2+AR-Aramco'!$Q$7:$Q$19</c:f>
              <c:numCache>
                <c:formatCode>0.00E+00</c:formatCode>
                <c:ptCount val="13"/>
                <c:pt idx="0">
                  <c:v>36786352304.981842</c:v>
                </c:pt>
                <c:pt idx="1">
                  <c:v>19641199816.97958</c:v>
                </c:pt>
                <c:pt idx="2">
                  <c:v>12062755102.399603</c:v>
                </c:pt>
                <c:pt idx="3">
                  <c:v>8096385328.2258453</c:v>
                </c:pt>
                <c:pt idx="4">
                  <c:v>5778236791.1472864</c:v>
                </c:pt>
                <c:pt idx="5">
                  <c:v>4313549668.7731695</c:v>
                </c:pt>
                <c:pt idx="6">
                  <c:v>3332782661.8617096</c:v>
                </c:pt>
                <c:pt idx="7">
                  <c:v>2645852911.2811227</c:v>
                </c:pt>
                <c:pt idx="8">
                  <c:v>2147162455.0543017</c:v>
                </c:pt>
                <c:pt idx="9">
                  <c:v>1774373778.816386</c:v>
                </c:pt>
                <c:pt idx="10">
                  <c:v>1488830892.5473726</c:v>
                </c:pt>
                <c:pt idx="11">
                  <c:v>1087894007.8217897</c:v>
                </c:pt>
                <c:pt idx="12">
                  <c:v>729347794.86872458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43-4603-B644-C13E2758978A}"/>
            </c:ext>
          </c:extLst>
        </c:ser>
        <c:ser>
          <c:idx val="1"/>
          <c:order val="1"/>
          <c:tx>
            <c:strRef>
              <c:f>'H+O2+AR-Aramco'!$P$34</c:f>
              <c:strCache>
                <c:ptCount val="1"/>
                <c:pt idx="0">
                  <c:v>760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'H+O2+AR-Aramco'!$N$35:$N$47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'H+O2+AR-Aramco'!$Q$35:$Q$47</c:f>
              <c:numCache>
                <c:formatCode>0.00E+00</c:formatCode>
                <c:ptCount val="13"/>
                <c:pt idx="0">
                  <c:v>272611675469.23627</c:v>
                </c:pt>
                <c:pt idx="1">
                  <c:v>146537359366.78442</c:v>
                </c:pt>
                <c:pt idx="2">
                  <c:v>90311351056.898056</c:v>
                </c:pt>
                <c:pt idx="3">
                  <c:v>60745955785.684914</c:v>
                </c:pt>
                <c:pt idx="4">
                  <c:v>43416523555.549706</c:v>
                </c:pt>
                <c:pt idx="5">
                  <c:v>32445671332.760941</c:v>
                </c:pt>
                <c:pt idx="6">
                  <c:v>25088990319.048218</c:v>
                </c:pt>
                <c:pt idx="7">
                  <c:v>19930738210.188095</c:v>
                </c:pt>
                <c:pt idx="8">
                  <c:v>16182761140.909922</c:v>
                </c:pt>
                <c:pt idx="9">
                  <c:v>13379041460.682661</c:v>
                </c:pt>
                <c:pt idx="10">
                  <c:v>11230230983.394226</c:v>
                </c:pt>
                <c:pt idx="11">
                  <c:v>8210964698.235281</c:v>
                </c:pt>
                <c:pt idx="12">
                  <c:v>5508521690.8997917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43-4603-B644-C13E2758978A}"/>
            </c:ext>
          </c:extLst>
        </c:ser>
        <c:ser>
          <c:idx val="2"/>
          <c:order val="2"/>
          <c:tx>
            <c:strRef>
              <c:f>'H+O2+AR-Aramco'!$P$62</c:f>
              <c:strCache>
                <c:ptCount val="1"/>
                <c:pt idx="0">
                  <c:v>3800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'H+O2+AR-Aramco'!$N$63:$N$75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'H+O2+AR-Aramco'!$Q$63:$Q$75</c:f>
              <c:numCache>
                <c:formatCode>0.00E+00</c:formatCode>
                <c:ptCount val="13"/>
                <c:pt idx="0">
                  <c:v>1294440864117.2124</c:v>
                </c:pt>
                <c:pt idx="1">
                  <c:v>708865153326.02283</c:v>
                </c:pt>
                <c:pt idx="2">
                  <c:v>440666828203.36133</c:v>
                </c:pt>
                <c:pt idx="3">
                  <c:v>297842445634.40533</c:v>
                </c:pt>
                <c:pt idx="4">
                  <c:v>213526033665.98825</c:v>
                </c:pt>
                <c:pt idx="5">
                  <c:v>159905061901.7272</c:v>
                </c:pt>
                <c:pt idx="6">
                  <c:v>123837104813.3329</c:v>
                </c:pt>
                <c:pt idx="7">
                  <c:v>98490664717.673325</c:v>
                </c:pt>
                <c:pt idx="8">
                  <c:v>80042668114.134888</c:v>
                </c:pt>
                <c:pt idx="9">
                  <c:v>66224042746.193115</c:v>
                </c:pt>
                <c:pt idx="10">
                  <c:v>55621900482.749771</c:v>
                </c:pt>
                <c:pt idx="11">
                  <c:v>40706934511.626839</c:v>
                </c:pt>
                <c:pt idx="12">
                  <c:v>27337068002.144741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43-4603-B644-C13E2758978A}"/>
            </c:ext>
          </c:extLst>
        </c:ser>
        <c:ser>
          <c:idx val="3"/>
          <c:order val="3"/>
          <c:tx>
            <c:strRef>
              <c:f>'H+O2+AR-Aramco'!$P$76</c:f>
              <c:strCache>
                <c:ptCount val="1"/>
                <c:pt idx="0">
                  <c:v>7600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'H+O2+AR-Aramco'!$N$77:$N$89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'H+O2+AR-Aramco'!$Q$77:$Q$89</c:f>
              <c:numCache>
                <c:formatCode>0.00E+00</c:formatCode>
                <c:ptCount val="13"/>
                <c:pt idx="0">
                  <c:v>2471655443811.8999</c:v>
                </c:pt>
                <c:pt idx="1">
                  <c:v>1379437714180.3569</c:v>
                </c:pt>
                <c:pt idx="2">
                  <c:v>864827207306.72266</c:v>
                </c:pt>
                <c:pt idx="3">
                  <c:v>587189942038.66125</c:v>
                </c:pt>
                <c:pt idx="4">
                  <c:v>422121483664.37695</c:v>
                </c:pt>
                <c:pt idx="5">
                  <c:v>316692074664.63995</c:v>
                </c:pt>
                <c:pt idx="6">
                  <c:v>245572766762.4606</c:v>
                </c:pt>
                <c:pt idx="7">
                  <c:v>195494158104.98029</c:v>
                </c:pt>
                <c:pt idx="8">
                  <c:v>158991586409.70596</c:v>
                </c:pt>
                <c:pt idx="9">
                  <c:v>131618336907.82425</c:v>
                </c:pt>
                <c:pt idx="10">
                  <c:v>110598084297.62703</c:v>
                </c:pt>
                <c:pt idx="11">
                  <c:v>80998402328.733231</c:v>
                </c:pt>
                <c:pt idx="12">
                  <c:v>54434358713.794502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643-4603-B644-C13E2758978A}"/>
            </c:ext>
          </c:extLst>
        </c:ser>
        <c:ser>
          <c:idx val="4"/>
          <c:order val="4"/>
          <c:tx>
            <c:strRef>
              <c:f>'H+O2+AR-Aramco'!$P$90</c:f>
              <c:strCache>
                <c:ptCount val="1"/>
                <c:pt idx="0">
                  <c:v>22800</c:v>
                </c:pt>
              </c:strCache>
            </c:strRef>
          </c:tx>
          <c:spPr>
            <a:ln>
              <a:solidFill>
                <a:srgbClr val="00B050"/>
              </a:solidFill>
              <a:prstDash val="dashDot"/>
            </a:ln>
          </c:spPr>
          <c:marker>
            <c:symbol val="none"/>
          </c:marker>
          <c:xVal>
            <c:numRef>
              <c:f>'H+O2+AR-Aramco'!$N$91:$N$103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'H+O2+AR-Aramco'!$Q$91:$Q$103</c:f>
              <c:numCache>
                <c:formatCode>0.00E+00</c:formatCode>
                <c:ptCount val="13"/>
                <c:pt idx="0">
                  <c:v>6412307594240.6807</c:v>
                </c:pt>
                <c:pt idx="1">
                  <c:v>3810422736182.8984</c:v>
                </c:pt>
                <c:pt idx="2">
                  <c:v>2457448237732.6445</c:v>
                </c:pt>
                <c:pt idx="3">
                  <c:v>1693606348596.374</c:v>
                </c:pt>
                <c:pt idx="4">
                  <c:v>1228288891759.0186</c:v>
                </c:pt>
                <c:pt idx="5">
                  <c:v>926748078165.39661</c:v>
                </c:pt>
                <c:pt idx="6">
                  <c:v>721424630679.20496</c:v>
                </c:pt>
                <c:pt idx="7">
                  <c:v>575915135043.48938</c:v>
                </c:pt>
                <c:pt idx="8">
                  <c:v>469362047296.05701</c:v>
                </c:pt>
                <c:pt idx="9">
                  <c:v>389182430405.03589</c:v>
                </c:pt>
                <c:pt idx="10">
                  <c:v>327448188988.39648</c:v>
                </c:pt>
                <c:pt idx="11">
                  <c:v>240269783483.29459</c:v>
                </c:pt>
                <c:pt idx="12">
                  <c:v>161774487680.78638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643-4603-B644-C13E2758978A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643-4603-B644-C13E2758978A}"/>
            </c:ext>
          </c:extLst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643-4603-B644-C13E2758978A}"/>
            </c:ext>
          </c:extLst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D643-4603-B644-C13E2758978A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D643-4603-B644-C13E2758978A}"/>
            </c:ext>
          </c:extLst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D643-4603-B644-C13E2758978A}"/>
            </c:ext>
          </c:extLst>
        </c:ser>
        <c:ser>
          <c:idx val="10"/>
          <c:order val="10"/>
          <c:tx>
            <c:strRef>
              <c:f>'H+O2+AR-USC-Mech II'!$R$6</c:f>
              <c:strCache>
                <c:ptCount val="1"/>
                <c:pt idx="0">
                  <c:v>100-USC Mech II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xVal>
            <c:numRef>
              <c:f>'H+O2+AR-USC-Mech II'!$N$7:$N$19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II'!$Q$7:$Q$19</c:f>
              <c:numCache>
                <c:formatCode>0.00E+00</c:formatCode>
                <c:ptCount val="13"/>
                <c:pt idx="0">
                  <c:v>40430548799.833847</c:v>
                </c:pt>
                <c:pt idx="1">
                  <c:v>20568808469.225048</c:v>
                </c:pt>
                <c:pt idx="2">
                  <c:v>12151831205.989042</c:v>
                </c:pt>
                <c:pt idx="3">
                  <c:v>7896475358.5977564</c:v>
                </c:pt>
                <c:pt idx="4">
                  <c:v>5481350438.6561117</c:v>
                </c:pt>
                <c:pt idx="5">
                  <c:v>3993757681.4530287</c:v>
                </c:pt>
                <c:pt idx="6">
                  <c:v>3019807542.6894546</c:v>
                </c:pt>
                <c:pt idx="7">
                  <c:v>2351255932.6803203</c:v>
                </c:pt>
                <c:pt idx="8">
                  <c:v>1874680388.1307163</c:v>
                </c:pt>
                <c:pt idx="9">
                  <c:v>1524312294.6868238</c:v>
                </c:pt>
                <c:pt idx="10">
                  <c:v>1260029777.907691</c:v>
                </c:pt>
                <c:pt idx="11">
                  <c:v>896317860.78372562</c:v>
                </c:pt>
                <c:pt idx="12">
                  <c:v>580589458.28800559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643-4603-B644-C13E2758978A}"/>
            </c:ext>
          </c:extLst>
        </c:ser>
        <c:ser>
          <c:idx val="11"/>
          <c:order val="11"/>
          <c:tx>
            <c:strRef>
              <c:f>'H+O2+AR-USC-Mech II'!$R$34</c:f>
              <c:strCache>
                <c:ptCount val="1"/>
                <c:pt idx="0">
                  <c:v>760- USC Mech II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'H+O2+AR-USC-Mech II'!$N$35:$N$47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II'!$Q$35:$Q$47</c:f>
              <c:numCache>
                <c:formatCode>0.00E+00</c:formatCode>
                <c:ptCount val="13"/>
                <c:pt idx="0">
                  <c:v>289558927673.9325</c:v>
                </c:pt>
                <c:pt idx="1">
                  <c:v>149494228858.24384</c:v>
                </c:pt>
                <c:pt idx="2">
                  <c:v>89029007477.376678</c:v>
                </c:pt>
                <c:pt idx="3">
                  <c:v>58146566039.240097</c:v>
                </c:pt>
                <c:pt idx="4">
                  <c:v>40505029473.682594</c:v>
                </c:pt>
                <c:pt idx="5">
                  <c:v>29589401760.033161</c:v>
                </c:pt>
                <c:pt idx="6">
                  <c:v>22418722433.341068</c:v>
                </c:pt>
                <c:pt idx="7">
                  <c:v>17483707395.348289</c:v>
                </c:pt>
                <c:pt idx="8">
                  <c:v>13958459168.320112</c:v>
                </c:pt>
                <c:pt idx="9">
                  <c:v>11362337146.561012</c:v>
                </c:pt>
                <c:pt idx="10">
                  <c:v>9401275281.3478947</c:v>
                </c:pt>
                <c:pt idx="11">
                  <c:v>6697863278.165453</c:v>
                </c:pt>
                <c:pt idx="12">
                  <c:v>4345954162.1281805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643-4603-B644-C13E2758978A}"/>
            </c:ext>
          </c:extLst>
        </c:ser>
        <c:ser>
          <c:idx val="12"/>
          <c:order val="12"/>
          <c:tx>
            <c:strRef>
              <c:f>'H+O2+AR-USC-Mech II'!$R$62</c:f>
              <c:strCache>
                <c:ptCount val="1"/>
                <c:pt idx="0">
                  <c:v>3800 USC Mech II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'H+O2+AR-USC-Mech II'!$N$63:$N$75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II'!$Q$63:$Q$75</c:f>
              <c:numCache>
                <c:formatCode>0.00E+00</c:formatCode>
                <c:ptCount val="13"/>
                <c:pt idx="0">
                  <c:v>1307152259652.7405</c:v>
                </c:pt>
                <c:pt idx="1">
                  <c:v>697207186942.92432</c:v>
                </c:pt>
                <c:pt idx="2">
                  <c:v>421942676189.8197</c:v>
                </c:pt>
                <c:pt idx="3">
                  <c:v>278197568412.8468</c:v>
                </c:pt>
                <c:pt idx="4">
                  <c:v>195000561773.24594</c:v>
                </c:pt>
                <c:pt idx="5">
                  <c:v>143077943642.33176</c:v>
                </c:pt>
                <c:pt idx="6">
                  <c:v>108761075072.30038</c:v>
                </c:pt>
                <c:pt idx="7">
                  <c:v>85036350865.797974</c:v>
                </c:pt>
                <c:pt idx="8">
                  <c:v>68029461970.791855</c:v>
                </c:pt>
                <c:pt idx="9">
                  <c:v>55469842963.437477</c:v>
                </c:pt>
                <c:pt idx="10">
                  <c:v>45960769190.232475</c:v>
                </c:pt>
                <c:pt idx="11">
                  <c:v>32817567468.982922</c:v>
                </c:pt>
                <c:pt idx="12">
                  <c:v>21345231623.624077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643-4603-B644-C13E2758978A}"/>
            </c:ext>
          </c:extLst>
        </c:ser>
        <c:ser>
          <c:idx val="13"/>
          <c:order val="13"/>
          <c:tx>
            <c:strRef>
              <c:f>'H+O2+AR-USC-Mech II'!$R$76</c:f>
              <c:strCache>
                <c:ptCount val="1"/>
                <c:pt idx="0">
                  <c:v>7600 USC Mech II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'H+O2+AR-USC-Mech II'!$N$77:$N$89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II'!$Q$77:$Q$89</c:f>
              <c:numCache>
                <c:formatCode>0.00E+00</c:formatCode>
                <c:ptCount val="13"/>
                <c:pt idx="0">
                  <c:v>2414105905607.21</c:v>
                </c:pt>
                <c:pt idx="1">
                  <c:v>1325472553172.3599</c:v>
                </c:pt>
                <c:pt idx="2">
                  <c:v>813227505446.31055</c:v>
                </c:pt>
                <c:pt idx="3">
                  <c:v>540329999804.02417</c:v>
                </c:pt>
                <c:pt idx="4">
                  <c:v>380588598948.07629</c:v>
                </c:pt>
                <c:pt idx="5">
                  <c:v>280182051201.39392</c:v>
                </c:pt>
                <c:pt idx="6">
                  <c:v>213497318312.63242</c:v>
                </c:pt>
                <c:pt idx="7">
                  <c:v>167232819879.96954</c:v>
                </c:pt>
                <c:pt idx="8">
                  <c:v>133980228193.1089</c:v>
                </c:pt>
                <c:pt idx="9">
                  <c:v>109372087389.5058</c:v>
                </c:pt>
                <c:pt idx="10">
                  <c:v>90709810218.331512</c:v>
                </c:pt>
                <c:pt idx="11">
                  <c:v>64866914434.009247</c:v>
                </c:pt>
                <c:pt idx="12">
                  <c:v>42257260983.105499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643-4603-B644-C13E2758978A}"/>
            </c:ext>
          </c:extLst>
        </c:ser>
        <c:ser>
          <c:idx val="14"/>
          <c:order val="14"/>
          <c:tx>
            <c:strRef>
              <c:f>'H+O2+AR-USC-Mech II'!$R$90</c:f>
              <c:strCache>
                <c:ptCount val="1"/>
                <c:pt idx="0">
                  <c:v>22800 USC Mech II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'H+O2+AR-USC-Mech II'!$N$91:$N$103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'H+O2+AR-USC-Mech II'!$Q$91:$Q$103</c:f>
              <c:numCache>
                <c:formatCode>0.00E+00</c:formatCode>
                <c:ptCount val="13"/>
                <c:pt idx="0">
                  <c:v>5822197697886.4902</c:v>
                </c:pt>
                <c:pt idx="1">
                  <c:v>3478426304534.1797</c:v>
                </c:pt>
                <c:pt idx="2">
                  <c:v>2222023400234.6553</c:v>
                </c:pt>
                <c:pt idx="3">
                  <c:v>1509569498662.9255</c:v>
                </c:pt>
                <c:pt idx="4">
                  <c:v>1077915274205.4681</c:v>
                </c:pt>
                <c:pt idx="5">
                  <c:v>800798092553.16162</c:v>
                </c:pt>
                <c:pt idx="6">
                  <c:v>614149810576.9989</c:v>
                </c:pt>
                <c:pt idx="7">
                  <c:v>483370340029.57776</c:v>
                </c:pt>
                <c:pt idx="8">
                  <c:v>388684691854.49939</c:v>
                </c:pt>
                <c:pt idx="9">
                  <c:v>318221934216.06146</c:v>
                </c:pt>
                <c:pt idx="10">
                  <c:v>264549255110.12094</c:v>
                </c:pt>
                <c:pt idx="11">
                  <c:v>189865130127.07217</c:v>
                </c:pt>
                <c:pt idx="12">
                  <c:v>124145155378.03281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D643-4603-B644-C13E2758978A}"/>
            </c:ext>
          </c:extLst>
        </c:ser>
        <c:ser>
          <c:idx val="15"/>
          <c:order val="15"/>
          <c:tx>
            <c:strRef>
              <c:f>'H+O2+AR-Burke'!$R$6</c:f>
              <c:strCache>
                <c:ptCount val="1"/>
                <c:pt idx="0">
                  <c:v>100-Burke</c:v>
                </c:pt>
              </c:strCache>
            </c:strRef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'H+O2+AR-Burke'!$N$7:$N$19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'H+O2+AR-Burke'!$Q$7:$Q$19</c:f>
              <c:numCache>
                <c:formatCode>0.00E+00</c:formatCode>
                <c:ptCount val="13"/>
                <c:pt idx="0">
                  <c:v>35960913577.458977</c:v>
                </c:pt>
                <c:pt idx="1">
                  <c:v>21786935552.710533</c:v>
                </c:pt>
                <c:pt idx="2">
                  <c:v>14232316070.591728</c:v>
                </c:pt>
                <c:pt idx="3">
                  <c:v>9859290628.9619179</c:v>
                </c:pt>
                <c:pt idx="4">
                  <c:v>7147813929.9909363</c:v>
                </c:pt>
                <c:pt idx="5">
                  <c:v>5371362099.4971733</c:v>
                </c:pt>
                <c:pt idx="6">
                  <c:v>4154681855.7421303</c:v>
                </c:pt>
                <c:pt idx="7">
                  <c:v>3290607818.5989876</c:v>
                </c:pt>
                <c:pt idx="8">
                  <c:v>2658205843.342989</c:v>
                </c:pt>
                <c:pt idx="9">
                  <c:v>2183493399.1770835</c:v>
                </c:pt>
                <c:pt idx="10">
                  <c:v>1819379914.9689994</c:v>
                </c:pt>
                <c:pt idx="11">
                  <c:v>1308904773.1148877</c:v>
                </c:pt>
                <c:pt idx="12">
                  <c:v>855975514.10154843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D643-4603-B644-C13E2758978A}"/>
            </c:ext>
          </c:extLst>
        </c:ser>
        <c:ser>
          <c:idx val="16"/>
          <c:order val="16"/>
          <c:tx>
            <c:strRef>
              <c:f>'H+O2+AR-Burke'!$R$34</c:f>
              <c:strCache>
                <c:ptCount val="1"/>
                <c:pt idx="0">
                  <c:v>760- Burke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'H+O2+AR-Burke'!$N$35:$N$47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'H+O2+AR-Burke'!$Q$35:$Q$47</c:f>
              <c:numCache>
                <c:formatCode>0.00E+00</c:formatCode>
                <c:ptCount val="13"/>
                <c:pt idx="0">
                  <c:v>257672950800.34665</c:v>
                </c:pt>
                <c:pt idx="1">
                  <c:v>157975142997.94589</c:v>
                </c:pt>
                <c:pt idx="2">
                  <c:v>103962229559.14285</c:v>
                </c:pt>
                <c:pt idx="3">
                  <c:v>72381430411.476288</c:v>
                </c:pt>
                <c:pt idx="4">
                  <c:v>52666837741.621155</c:v>
                </c:pt>
                <c:pt idx="5">
                  <c:v>39687361932.464264</c:v>
                </c:pt>
                <c:pt idx="6">
                  <c:v>30764851292.2318</c:v>
                </c:pt>
                <c:pt idx="7">
                  <c:v>24409729052.214855</c:v>
                </c:pt>
                <c:pt idx="8">
                  <c:v>19747576680.023521</c:v>
                </c:pt>
                <c:pt idx="9">
                  <c:v>16241128204.690947</c:v>
                </c:pt>
                <c:pt idx="10">
                  <c:v>13547211713.584427</c:v>
                </c:pt>
                <c:pt idx="11">
                  <c:v>9763110447.5654526</c:v>
                </c:pt>
                <c:pt idx="12">
                  <c:v>6397100926.3707857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D643-4603-B644-C13E2758978A}"/>
            </c:ext>
          </c:extLst>
        </c:ser>
        <c:ser>
          <c:idx val="17"/>
          <c:order val="17"/>
          <c:tx>
            <c:strRef>
              <c:f>'H+O2+AR-Burke'!$R$62</c:f>
              <c:strCache>
                <c:ptCount val="1"/>
                <c:pt idx="0">
                  <c:v>3800 Burke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'H+O2+AR-Burke'!$N$63:$N$75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'H+O2+AR-Burke'!$Q$63:$Q$75</c:f>
              <c:numCache>
                <c:formatCode>0.00E+00</c:formatCode>
                <c:ptCount val="13"/>
                <c:pt idx="0">
                  <c:v>1164520362421.6492</c:v>
                </c:pt>
                <c:pt idx="1">
                  <c:v>733103484972.17725</c:v>
                </c:pt>
                <c:pt idx="2">
                  <c:v>489860768373.14191</c:v>
                </c:pt>
                <c:pt idx="3">
                  <c:v>344385250273.66663</c:v>
                </c:pt>
                <c:pt idx="4">
                  <c:v>252265477455.29404</c:v>
                </c:pt>
                <c:pt idx="5">
                  <c:v>191023579334.66162</c:v>
                </c:pt>
                <c:pt idx="6">
                  <c:v>148626908363.07944</c:v>
                </c:pt>
                <c:pt idx="7">
                  <c:v>118268881560.72627</c:v>
                </c:pt>
                <c:pt idx="8">
                  <c:v>95905518190.758896</c:v>
                </c:pt>
                <c:pt idx="9">
                  <c:v>79029708553.947739</c:v>
                </c:pt>
                <c:pt idx="10">
                  <c:v>66028931164.984306</c:v>
                </c:pt>
                <c:pt idx="11">
                  <c:v>47709321615.229378</c:v>
                </c:pt>
                <c:pt idx="12">
                  <c:v>31348836151.736107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D643-4603-B644-C13E2758978A}"/>
            </c:ext>
          </c:extLst>
        </c:ser>
        <c:ser>
          <c:idx val="18"/>
          <c:order val="18"/>
          <c:tx>
            <c:strRef>
              <c:f>'H+O2+AR-Burke'!$R$76</c:f>
              <c:strCache>
                <c:ptCount val="1"/>
                <c:pt idx="0">
                  <c:v>7600 Burke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'H+O2+AR-Burke'!$N$77:$N$89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'H+O2+AR-Burke'!$Q$77:$Q$89</c:f>
              <c:numCache>
                <c:formatCode>0.00E+00</c:formatCode>
                <c:ptCount val="13"/>
                <c:pt idx="0">
                  <c:v>2152869864697.8977</c:v>
                </c:pt>
                <c:pt idx="1">
                  <c:v>1387671287296.9041</c:v>
                </c:pt>
                <c:pt idx="2">
                  <c:v>939532965006.52979</c:v>
                </c:pt>
                <c:pt idx="3">
                  <c:v>665888373972.06091</c:v>
                </c:pt>
                <c:pt idx="4">
                  <c:v>490404134291.08386</c:v>
                </c:pt>
                <c:pt idx="5">
                  <c:v>372765694812.24097</c:v>
                </c:pt>
                <c:pt idx="6">
                  <c:v>290850670436.97009</c:v>
                </c:pt>
                <c:pt idx="7">
                  <c:v>231944144950.80585</c:v>
                </c:pt>
                <c:pt idx="8">
                  <c:v>188408694970.44354</c:v>
                </c:pt>
                <c:pt idx="9">
                  <c:v>155471784617.56168</c:v>
                </c:pt>
                <c:pt idx="10">
                  <c:v>130045481249.1955</c:v>
                </c:pt>
                <c:pt idx="11">
                  <c:v>94133493081.233154</c:v>
                </c:pt>
                <c:pt idx="12">
                  <c:v>61970265190.380257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D643-4603-B644-C13E2758978A}"/>
            </c:ext>
          </c:extLst>
        </c:ser>
        <c:ser>
          <c:idx val="19"/>
          <c:order val="19"/>
          <c:tx>
            <c:strRef>
              <c:f>'H+O2+AR-Burke'!$R$90</c:f>
              <c:strCache>
                <c:ptCount val="1"/>
                <c:pt idx="0">
                  <c:v>22800 Burke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'H+O2+AR-Burke'!$N$91:$N$103</c:f>
              <c:numCache>
                <c:formatCode>0.00</c:formatCode>
                <c:ptCount val="13"/>
                <c:pt idx="0">
                  <c:v>33.333333333333336</c:v>
                </c:pt>
                <c:pt idx="1">
                  <c:v>25</c:v>
                </c:pt>
                <c:pt idx="2">
                  <c:v>20</c:v>
                </c:pt>
                <c:pt idx="3">
                  <c:v>16.666666666666668</c:v>
                </c:pt>
                <c:pt idx="4">
                  <c:v>14.285714285714286</c:v>
                </c:pt>
                <c:pt idx="5">
                  <c:v>12.5</c:v>
                </c:pt>
                <c:pt idx="6">
                  <c:v>11.111111111111111</c:v>
                </c:pt>
                <c:pt idx="7">
                  <c:v>10</c:v>
                </c:pt>
                <c:pt idx="8">
                  <c:v>9.0909090909090917</c:v>
                </c:pt>
                <c:pt idx="9">
                  <c:v>8.3333333333333339</c:v>
                </c:pt>
                <c:pt idx="10">
                  <c:v>7.6923076923076925</c:v>
                </c:pt>
                <c:pt idx="11">
                  <c:v>6.666666666666667</c:v>
                </c:pt>
                <c:pt idx="12">
                  <c:v>5.5555555555555554</c:v>
                </c:pt>
              </c:numCache>
            </c:numRef>
          </c:xVal>
          <c:yVal>
            <c:numRef>
              <c:f>'H+O2+AR-Burke'!$Q$91:$Q$103</c:f>
              <c:numCache>
                <c:formatCode>0.00E+00</c:formatCode>
                <c:ptCount val="13"/>
                <c:pt idx="0">
                  <c:v>5207193882189.6582</c:v>
                </c:pt>
                <c:pt idx="1">
                  <c:v>3595173434071.8564</c:v>
                </c:pt>
                <c:pt idx="2">
                  <c:v>2530667905622.3203</c:v>
                </c:pt>
                <c:pt idx="3">
                  <c:v>1836547011922.1653</c:v>
                </c:pt>
                <c:pt idx="4">
                  <c:v>1373587796000.8958</c:v>
                </c:pt>
                <c:pt idx="5">
                  <c:v>1055281787610.2977</c:v>
                </c:pt>
                <c:pt idx="6">
                  <c:v>829766280627.63525</c:v>
                </c:pt>
                <c:pt idx="7">
                  <c:v>665567798972.40051</c:v>
                </c:pt>
                <c:pt idx="8">
                  <c:v>543086407762.39111</c:v>
                </c:pt>
                <c:pt idx="9">
                  <c:v>449759884329.02264</c:v>
                </c:pt>
                <c:pt idx="10">
                  <c:v>377307744786.20752</c:v>
                </c:pt>
                <c:pt idx="11">
                  <c:v>274338959474.99271</c:v>
                </c:pt>
                <c:pt idx="12">
                  <c:v>181431505549.7674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D643-4603-B644-C13E2758978A}"/>
            </c:ext>
          </c:extLst>
        </c:ser>
        <c:ser>
          <c:idx val="20"/>
          <c:order val="20"/>
          <c:tx>
            <c:strRef>
              <c:f>'H+O2+AR-Aramco'!$R$4</c:f>
              <c:strCache>
                <c:ptCount val="1"/>
                <c:pt idx="0">
                  <c:v>Aramco</c:v>
                </c:pt>
              </c:strCache>
            </c:strRef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4-D643-4603-B644-C13E2758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91904"/>
        <c:axId val="216502272"/>
      </c:scatterChart>
      <c:valAx>
        <c:axId val="216491904"/>
        <c:scaling>
          <c:orientation val="minMax"/>
          <c:max val="20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10000/T (K)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502272"/>
        <c:crosses val="autoZero"/>
        <c:crossBetween val="midCat"/>
        <c:majorUnit val="2"/>
      </c:valAx>
      <c:valAx>
        <c:axId val="216502272"/>
        <c:scaling>
          <c:logBase val="10"/>
          <c:orientation val="minMax"/>
          <c:min val="100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2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2000" b="1" i="0" u="none" strike="noStrike" baseline="0">
                    <a:solidFill>
                      <a:srgbClr val="000000"/>
                    </a:solidFill>
                    <a:latin typeface="Calibri"/>
                    <a:cs typeface="Times New Roman"/>
                  </a:rPr>
                  <a:t> (cm</a:t>
                </a:r>
                <a:r>
                  <a:rPr lang="en-US" sz="2000" b="1" i="0" u="none" strike="noStrike" baseline="30000">
                    <a:solidFill>
                      <a:srgbClr val="000000"/>
                    </a:solidFill>
                    <a:latin typeface="Calibri"/>
                    <a:cs typeface="Times New Roman"/>
                  </a:rPr>
                  <a:t>3</a:t>
                </a:r>
                <a:r>
                  <a:rPr lang="en-US" sz="2000" b="1" i="0" u="none" strike="noStrike" baseline="0">
                    <a:solidFill>
                      <a:srgbClr val="000000"/>
                    </a:solidFill>
                    <a:latin typeface="Calibri"/>
                    <a:cs typeface="Times New Roman"/>
                  </a:rPr>
                  <a:t>/mol/s)</a:t>
                </a:r>
                <a:endParaRPr lang="en-US" sz="2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overlay val="0"/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491904"/>
        <c:crosses val="autoZero"/>
        <c:crossBetween val="midCat"/>
      </c:valAx>
      <c:spPr>
        <a:ln w="381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</cdr:x>
      <cdr:y>0.7259</cdr:y>
    </cdr:from>
    <cdr:to>
      <cdr:x>0.3366</cdr:x>
      <cdr:y>0.77769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1" y="4563341"/>
          <a:ext cx="914400" cy="325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100 Torr</a:t>
          </a:r>
        </a:p>
        <a:p xmlns:a="http://schemas.openxmlformats.org/drawingml/2006/main">
          <a:endParaRPr lang="en-US" sz="2000"/>
        </a:p>
      </cdr:txBody>
    </cdr:sp>
  </cdr:relSizeAnchor>
  <cdr:relSizeAnchor xmlns:cdr="http://schemas.openxmlformats.org/drawingml/2006/chartDrawing">
    <cdr:from>
      <cdr:x>0.231</cdr:x>
      <cdr:y>0.58815</cdr:y>
    </cdr:from>
    <cdr:to>
      <cdr:x>0.3366</cdr:x>
      <cdr:y>0.65014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00250" y="3697431"/>
          <a:ext cx="914400" cy="38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1 atm</a:t>
          </a:r>
        </a:p>
      </cdr:txBody>
    </cdr:sp>
  </cdr:relSizeAnchor>
  <cdr:relSizeAnchor xmlns:cdr="http://schemas.openxmlformats.org/drawingml/2006/chartDrawing">
    <cdr:from>
      <cdr:x>0.241</cdr:x>
      <cdr:y>0.51791</cdr:y>
    </cdr:from>
    <cdr:to>
      <cdr:x>0.3466</cdr:x>
      <cdr:y>0.66336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086841" y="32558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0.235</cdr:x>
      <cdr:y>0.47658</cdr:y>
    </cdr:from>
    <cdr:to>
      <cdr:x>0.3406</cdr:x>
      <cdr:y>0.52617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034887" y="2996045"/>
          <a:ext cx="914400" cy="31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5 atm</a:t>
          </a:r>
        </a:p>
      </cdr:txBody>
    </cdr:sp>
  </cdr:relSizeAnchor>
  <cdr:relSizeAnchor xmlns:cdr="http://schemas.openxmlformats.org/drawingml/2006/chartDrawing">
    <cdr:from>
      <cdr:x>0.236</cdr:x>
      <cdr:y>0.29201</cdr:y>
    </cdr:from>
    <cdr:to>
      <cdr:x>0.3416</cdr:x>
      <cdr:y>0.34298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043546" y="1835727"/>
          <a:ext cx="914400" cy="320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30 atm</a:t>
          </a:r>
        </a:p>
      </cdr:txBody>
    </cdr:sp>
  </cdr:relSizeAnchor>
  <cdr:relSizeAnchor xmlns:cdr="http://schemas.openxmlformats.org/drawingml/2006/chartDrawing">
    <cdr:from>
      <cdr:x>0.237</cdr:x>
      <cdr:y>0.37466</cdr:y>
    </cdr:from>
    <cdr:to>
      <cdr:x>0.3426</cdr:x>
      <cdr:y>0.43664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052205" y="2355273"/>
          <a:ext cx="914400" cy="38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10 atm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0.231</cdr:x>
      <cdr:y>0.7259</cdr:y>
    </cdr:from>
    <cdr:to>
      <cdr:x>0.3366</cdr:x>
      <cdr:y>0.77769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1" y="4563341"/>
          <a:ext cx="914400" cy="325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100 Torr</a:t>
          </a:r>
        </a:p>
        <a:p xmlns:a="http://schemas.openxmlformats.org/drawingml/2006/main">
          <a:endParaRPr lang="en-US" sz="2000"/>
        </a:p>
      </cdr:txBody>
    </cdr:sp>
  </cdr:relSizeAnchor>
  <cdr:relSizeAnchor xmlns:cdr="http://schemas.openxmlformats.org/drawingml/2006/chartDrawing">
    <cdr:from>
      <cdr:x>0.231</cdr:x>
      <cdr:y>0.58815</cdr:y>
    </cdr:from>
    <cdr:to>
      <cdr:x>0.3366</cdr:x>
      <cdr:y>0.65014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00250" y="3697431"/>
          <a:ext cx="914400" cy="38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1 atm</a:t>
          </a:r>
        </a:p>
      </cdr:txBody>
    </cdr:sp>
  </cdr:relSizeAnchor>
  <cdr:relSizeAnchor xmlns:cdr="http://schemas.openxmlformats.org/drawingml/2006/chartDrawing">
    <cdr:from>
      <cdr:x>0.241</cdr:x>
      <cdr:y>0.51791</cdr:y>
    </cdr:from>
    <cdr:to>
      <cdr:x>0.3466</cdr:x>
      <cdr:y>0.66336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086841" y="32558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0.235</cdr:x>
      <cdr:y>0.47658</cdr:y>
    </cdr:from>
    <cdr:to>
      <cdr:x>0.3406</cdr:x>
      <cdr:y>0.52617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034887" y="2996045"/>
          <a:ext cx="914400" cy="31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5 atm</a:t>
          </a:r>
        </a:p>
      </cdr:txBody>
    </cdr:sp>
  </cdr:relSizeAnchor>
  <cdr:relSizeAnchor xmlns:cdr="http://schemas.openxmlformats.org/drawingml/2006/chartDrawing">
    <cdr:from>
      <cdr:x>0.236</cdr:x>
      <cdr:y>0.29201</cdr:y>
    </cdr:from>
    <cdr:to>
      <cdr:x>0.3416</cdr:x>
      <cdr:y>0.34298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043546" y="1835727"/>
          <a:ext cx="914400" cy="320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30 atm</a:t>
          </a:r>
        </a:p>
      </cdr:txBody>
    </cdr:sp>
  </cdr:relSizeAnchor>
  <cdr:relSizeAnchor xmlns:cdr="http://schemas.openxmlformats.org/drawingml/2006/chartDrawing">
    <cdr:from>
      <cdr:x>0.237</cdr:x>
      <cdr:y>0.37466</cdr:y>
    </cdr:from>
    <cdr:to>
      <cdr:x>0.3426</cdr:x>
      <cdr:y>0.43664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052205" y="2355273"/>
          <a:ext cx="914400" cy="38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10 atm</a:t>
          </a:r>
        </a:p>
      </cdr:txBody>
    </cdr:sp>
  </cdr:relSizeAnchor>
  <cdr:relSizeAnchor xmlns:cdr="http://schemas.openxmlformats.org/drawingml/2006/chartDrawing">
    <cdr:from>
      <cdr:x>0.63905</cdr:x>
      <cdr:y>0.62282</cdr:y>
    </cdr:from>
    <cdr:to>
      <cdr:x>0.90005</cdr:x>
      <cdr:y>0.84321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39105" y="3920289"/>
          <a:ext cx="2262283" cy="138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——</a:t>
          </a:r>
          <a:r>
            <a:rPr lang="en-US" sz="2000"/>
            <a:t>  HP-Mech</a:t>
          </a:r>
        </a:p>
        <a:p xmlns:a="http://schemas.openxmlformats.org/drawingml/2006/main">
          <a:r>
            <a:rPr lang="en-US" sz="2000"/>
            <a:t>∙∙∙∙∙∙∙   USC Mech II</a:t>
          </a:r>
        </a:p>
        <a:p xmlns:a="http://schemas.openxmlformats.org/drawingml/2006/main">
          <a:r>
            <a:rPr lang="en-US" sz="2000"/>
            <a:t>⁻⁻⁻⁻⁻   Burke Model</a:t>
          </a:r>
        </a:p>
        <a:p xmlns:a="http://schemas.openxmlformats.org/drawingml/2006/main">
          <a:r>
            <a:rPr lang="en-US" sz="2000"/>
            <a:t>−∙−∙</a:t>
          </a:r>
          <a:r>
            <a:rPr lang="en-US" sz="2000">
              <a:effectLst/>
              <a:latin typeface="+mn-lt"/>
              <a:ea typeface="+mn-ea"/>
              <a:cs typeface="+mn-cs"/>
            </a:rPr>
            <a:t>−  Aramco Mech</a:t>
          </a:r>
        </a:p>
        <a:p xmlns:a="http://schemas.openxmlformats.org/drawingml/2006/main">
          <a:endParaRPr lang="en-US" sz="2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0"/>
  <sheetViews>
    <sheetView topLeftCell="A294" workbookViewId="0">
      <selection activeCell="N214" sqref="N214"/>
    </sheetView>
  </sheetViews>
  <sheetFormatPr defaultColWidth="11.5703125" defaultRowHeight="12.75"/>
  <cols>
    <col min="1" max="1" width="12.5703125" bestFit="1" customWidth="1"/>
    <col min="2" max="2" width="14.28515625" customWidth="1"/>
    <col min="3" max="3" width="14.140625" bestFit="1" customWidth="1"/>
    <col min="4" max="4" width="12.5703125" bestFit="1" customWidth="1"/>
    <col min="5" max="6" width="12.42578125" bestFit="1" customWidth="1"/>
    <col min="7" max="7" width="9.7109375" customWidth="1"/>
    <col min="8" max="9" width="12.5703125" bestFit="1" customWidth="1"/>
    <col min="10" max="10" width="12.28515625" bestFit="1" customWidth="1"/>
    <col min="11" max="11" width="9.140625" bestFit="1" customWidth="1"/>
    <col min="12" max="12" width="14.7109375" bestFit="1" customWidth="1"/>
    <col min="13" max="14" width="12.42578125" bestFit="1" customWidth="1"/>
    <col min="15" max="15" width="13.85546875" bestFit="1" customWidth="1"/>
    <col min="16" max="16" width="10.140625" bestFit="1" customWidth="1"/>
    <col min="17" max="17" width="9" bestFit="1" customWidth="1"/>
    <col min="18" max="18" width="12.42578125" bestFit="1" customWidth="1"/>
    <col min="21" max="22" width="15.7109375" bestFit="1" customWidth="1"/>
    <col min="23" max="23" width="13.42578125" customWidth="1"/>
    <col min="24" max="24" width="10" customWidth="1"/>
    <col min="25" max="26" width="12.42578125" bestFit="1" customWidth="1"/>
    <col min="27" max="27" width="10" customWidth="1"/>
    <col min="29" max="29" width="12.42578125" bestFit="1" customWidth="1"/>
  </cols>
  <sheetData>
    <row r="1" spans="1:37">
      <c r="A1" t="s">
        <v>0</v>
      </c>
    </row>
    <row r="2" spans="1:37">
      <c r="C2" s="22"/>
      <c r="E2" s="6"/>
    </row>
    <row r="3" spans="1:37">
      <c r="S3" s="6">
        <f>SUM(S7:S330)</f>
        <v>2.3642679352130807</v>
      </c>
      <c r="T3" s="6"/>
    </row>
    <row r="4" spans="1:37">
      <c r="A4" t="s">
        <v>1</v>
      </c>
      <c r="B4" s="22">
        <v>1025148010484.856</v>
      </c>
      <c r="D4" s="1"/>
      <c r="E4" s="1"/>
      <c r="F4" s="1"/>
      <c r="Z4" s="6"/>
      <c r="AA4" s="6"/>
      <c r="AI4" s="6"/>
    </row>
    <row r="5" spans="1:37">
      <c r="A5" t="s">
        <v>2</v>
      </c>
      <c r="B5">
        <v>0.60443536309435009</v>
      </c>
      <c r="M5" t="s">
        <v>52</v>
      </c>
      <c r="Q5" t="s">
        <v>20</v>
      </c>
      <c r="R5" t="s">
        <v>66</v>
      </c>
      <c r="S5" s="14"/>
      <c r="T5" s="14"/>
      <c r="U5" s="14"/>
      <c r="V5" s="14"/>
      <c r="Z5" s="10"/>
    </row>
    <row r="6" spans="1:37" ht="15.75">
      <c r="A6" t="s">
        <v>3</v>
      </c>
      <c r="B6">
        <v>-241.07912523649858</v>
      </c>
      <c r="C6" s="24"/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>
        <f>760*2.4</f>
        <v>1824</v>
      </c>
      <c r="Q6" t="s">
        <v>16</v>
      </c>
      <c r="S6" s="15"/>
      <c r="T6" s="15"/>
      <c r="U6" s="18"/>
      <c r="V6" s="17"/>
      <c r="Z6" s="10"/>
      <c r="AD6" s="6"/>
      <c r="AK6" s="6"/>
    </row>
    <row r="7" spans="1:37" ht="15.75">
      <c r="A7" t="s">
        <v>1</v>
      </c>
      <c r="B7" s="6">
        <v>2.103598072870921E+19</v>
      </c>
      <c r="C7" s="20"/>
      <c r="D7" s="3">
        <f>10^E7</f>
        <v>0.77177018814490739</v>
      </c>
      <c r="E7" s="3">
        <f t="shared" ref="E7:E17" si="0">LOG(J7)/(1+(F7/(I7-0.14*F7))^2)</f>
        <v>-0.11251200132074922</v>
      </c>
      <c r="F7" s="3">
        <f t="shared" ref="F7:F17" si="1">LOG(G7)+H7</f>
        <v>-1.9706242020451432</v>
      </c>
      <c r="G7" s="4">
        <f t="shared" ref="G7:G17" si="2">M7*K7/L7</f>
        <v>1.6304193447483777E-2</v>
      </c>
      <c r="H7" s="3">
        <f t="shared" ref="H7:H17" si="3">-0.4-0.67*LOG(J7)</f>
        <v>-0.18292352159490449</v>
      </c>
      <c r="I7" s="3">
        <f t="shared" ref="I7:I17" si="4">0.75-1.27*LOG(J7)</f>
        <v>1.1614733247380169</v>
      </c>
      <c r="J7" s="4">
        <f t="shared" ref="J7:J19" si="5">(1-$B$10)*EXP(-O7/$B$11)+$B$10*EXP(-O7/$B$12)+EXP(-B$13/O7)</f>
        <v>0.47424772487721328</v>
      </c>
      <c r="K7" s="4">
        <f t="shared" ref="K7:K19" si="6">$P$6*101325/760/8.314/O7/1000000</f>
        <v>9.7498195814289148E-5</v>
      </c>
      <c r="L7" s="9">
        <f t="shared" ref="L7:L19" si="7">B$4*O7^B$5*EXP(-B$6/1.987/O7)</f>
        <v>48271057302442.148</v>
      </c>
      <c r="M7" s="4">
        <f t="shared" ref="M7:M17" si="8">$B$7*O7^$B$8*EXP(-$B$9/1.987/O7)</f>
        <v>8072156100946505</v>
      </c>
      <c r="N7" s="3">
        <f t="shared" ref="N7:N17" si="9">10000/O7</f>
        <v>33.333333333333336</v>
      </c>
      <c r="O7" s="12">
        <v>300</v>
      </c>
      <c r="P7" s="40"/>
      <c r="Q7" s="20">
        <f t="shared" ref="Q7:Q17" si="10">L7/(1+L7/M7/K7)*D7</f>
        <v>597654800408.34595</v>
      </c>
      <c r="R7" s="20">
        <f>0.00000000000081*6.02E+23</f>
        <v>487620000000</v>
      </c>
      <c r="S7" s="20">
        <f>(R7-Q7)^2/Q7^2</f>
        <v>3.3896846427911791E-2</v>
      </c>
      <c r="T7" s="20"/>
      <c r="U7" s="19"/>
      <c r="V7" s="17"/>
      <c r="W7" s="5"/>
      <c r="X7" s="9"/>
      <c r="Y7" s="4"/>
      <c r="Z7" s="6"/>
      <c r="AB7" s="6"/>
      <c r="AD7" s="6"/>
      <c r="AG7" s="6"/>
      <c r="AH7" s="6"/>
      <c r="AI7" s="6"/>
      <c r="AJ7" s="6"/>
      <c r="AK7" s="6"/>
    </row>
    <row r="8" spans="1:37" ht="15.75">
      <c r="A8" t="s">
        <v>2</v>
      </c>
      <c r="B8" s="11">
        <v>-1.302031933675051</v>
      </c>
      <c r="D8" s="3">
        <f>10^E8</f>
        <v>0.79818550361013174</v>
      </c>
      <c r="E8" s="3">
        <f t="shared" si="0"/>
        <v>-9.7896163997870295E-2</v>
      </c>
      <c r="F8" s="3">
        <f t="shared" si="1"/>
        <v>-2.2421738569675993</v>
      </c>
      <c r="G8" s="4">
        <f t="shared" si="2"/>
        <v>8.7246831654178049E-3</v>
      </c>
      <c r="H8" s="3">
        <f t="shared" si="3"/>
        <v>-0.18292352159490449</v>
      </c>
      <c r="I8" s="3">
        <f t="shared" si="4"/>
        <v>1.1614733247380169</v>
      </c>
      <c r="J8" s="4">
        <f t="shared" si="5"/>
        <v>0.47424772487721328</v>
      </c>
      <c r="K8" s="4">
        <f t="shared" si="6"/>
        <v>7.3123646860716858E-5</v>
      </c>
      <c r="L8" s="9">
        <f t="shared" si="7"/>
        <v>51915144096005.555</v>
      </c>
      <c r="M8" s="4">
        <f t="shared" si="8"/>
        <v>6194209440721797</v>
      </c>
      <c r="N8" s="3">
        <f t="shared" si="9"/>
        <v>25</v>
      </c>
      <c r="O8" s="12">
        <v>400</v>
      </c>
      <c r="P8" s="13"/>
      <c r="Q8" s="4">
        <f t="shared" si="10"/>
        <v>358405706970.05219</v>
      </c>
      <c r="R8" s="4"/>
      <c r="U8" s="19"/>
      <c r="V8" s="17"/>
      <c r="W8" s="5"/>
      <c r="X8" s="9"/>
      <c r="Y8" s="4"/>
      <c r="Z8" s="6"/>
      <c r="AB8" s="6"/>
      <c r="AD8" s="6"/>
      <c r="AG8" s="6"/>
      <c r="AH8" s="6"/>
      <c r="AI8" s="6"/>
      <c r="AJ8" s="6"/>
      <c r="AK8" s="6"/>
    </row>
    <row r="9" spans="1:37" ht="15.75">
      <c r="A9" t="s">
        <v>3</v>
      </c>
      <c r="B9" s="10">
        <v>261.72490137242431</v>
      </c>
      <c r="C9" s="1"/>
      <c r="D9" s="3">
        <f t="shared" ref="D9:D17" si="11">10^E9</f>
        <v>0.81666275327674931</v>
      </c>
      <c r="E9" s="3">
        <f t="shared" si="0"/>
        <v>-8.7957251458459007E-2</v>
      </c>
      <c r="F9" s="3">
        <f t="shared" si="1"/>
        <v>-2.468891222227461</v>
      </c>
      <c r="G9" s="4">
        <f t="shared" si="2"/>
        <v>5.176453288591361E-3</v>
      </c>
      <c r="H9" s="3">
        <f t="shared" si="3"/>
        <v>-0.18292352159490449</v>
      </c>
      <c r="I9" s="3">
        <f t="shared" si="4"/>
        <v>1.1614733247380169</v>
      </c>
      <c r="J9" s="4">
        <f t="shared" si="5"/>
        <v>0.47424772487721328</v>
      </c>
      <c r="K9" s="4">
        <f t="shared" si="6"/>
        <v>5.8498917488573493E-5</v>
      </c>
      <c r="L9" s="9">
        <f t="shared" si="7"/>
        <v>55914419404048.281</v>
      </c>
      <c r="M9" s="4">
        <f t="shared" si="8"/>
        <v>4947756174467637</v>
      </c>
      <c r="N9" s="3">
        <f t="shared" si="9"/>
        <v>20</v>
      </c>
      <c r="O9" s="12">
        <v>500</v>
      </c>
      <c r="P9" s="13"/>
      <c r="Q9" s="20">
        <f t="shared" si="10"/>
        <v>235156269038.9675</v>
      </c>
      <c r="R9" s="20"/>
      <c r="S9" s="6"/>
      <c r="T9" s="6"/>
      <c r="U9" s="19"/>
      <c r="V9" s="17"/>
      <c r="W9" s="5"/>
      <c r="X9" s="9"/>
      <c r="Y9" s="4"/>
      <c r="Z9" s="6"/>
      <c r="AB9" s="6"/>
      <c r="AD9" s="6"/>
      <c r="AG9" s="6"/>
      <c r="AH9" s="6"/>
      <c r="AI9" s="6"/>
      <c r="AJ9" s="6"/>
      <c r="AK9" s="6"/>
    </row>
    <row r="10" spans="1:37" ht="15.75">
      <c r="A10" t="s">
        <v>1</v>
      </c>
      <c r="B10" s="11">
        <v>0.47424772487721328</v>
      </c>
      <c r="D10" s="3">
        <f t="shared" si="11"/>
        <v>0.83029540586954853</v>
      </c>
      <c r="E10" s="3">
        <f t="shared" si="0"/>
        <v>-8.0767365076898676E-2</v>
      </c>
      <c r="F10" s="3">
        <f t="shared" si="1"/>
        <v>-2.6623966455306323</v>
      </c>
      <c r="G10" s="4">
        <f t="shared" si="2"/>
        <v>3.3153308591139692E-3</v>
      </c>
      <c r="H10" s="3">
        <f t="shared" si="3"/>
        <v>-0.18292352159490449</v>
      </c>
      <c r="I10" s="3">
        <f t="shared" si="4"/>
        <v>1.1614733247380169</v>
      </c>
      <c r="J10" s="4">
        <f t="shared" si="5"/>
        <v>0.47424772487721328</v>
      </c>
      <c r="K10" s="4">
        <f t="shared" si="6"/>
        <v>4.8749097907144574E-5</v>
      </c>
      <c r="L10" s="9">
        <f t="shared" si="7"/>
        <v>59954213423504.078</v>
      </c>
      <c r="M10" s="4">
        <f t="shared" si="8"/>
        <v>4077368862813705</v>
      </c>
      <c r="N10" s="3">
        <f t="shared" si="9"/>
        <v>16.666666666666668</v>
      </c>
      <c r="O10" s="12">
        <v>600</v>
      </c>
      <c r="P10" s="13"/>
      <c r="Q10" s="4">
        <f t="shared" si="10"/>
        <v>164490860358.79401</v>
      </c>
      <c r="R10" s="4"/>
      <c r="S10" s="6"/>
      <c r="T10" s="6"/>
      <c r="U10" s="19"/>
      <c r="V10" s="17"/>
      <c r="W10" s="5"/>
      <c r="X10" s="9"/>
      <c r="Y10" s="4"/>
      <c r="Z10" s="6"/>
      <c r="AB10" s="6"/>
      <c r="AD10" s="6"/>
      <c r="AG10" s="6"/>
      <c r="AH10" s="6"/>
      <c r="AI10" s="6"/>
      <c r="AJ10" s="6"/>
      <c r="AK10" s="6"/>
    </row>
    <row r="11" spans="1:37" ht="15.75">
      <c r="A11" t="s">
        <v>18</v>
      </c>
      <c r="B11" s="10">
        <v>0.05</v>
      </c>
      <c r="D11" s="3">
        <f t="shared" si="11"/>
        <v>0.84079703688797991</v>
      </c>
      <c r="E11" s="3">
        <f t="shared" si="0"/>
        <v>-7.5308827504870238E-2</v>
      </c>
      <c r="F11" s="3">
        <f t="shared" si="1"/>
        <v>-2.8308093867502095</v>
      </c>
      <c r="G11" s="4">
        <f t="shared" si="2"/>
        <v>2.2496457467373002E-3</v>
      </c>
      <c r="H11" s="3">
        <f t="shared" si="3"/>
        <v>-0.18292352159490449</v>
      </c>
      <c r="I11" s="3">
        <f t="shared" si="4"/>
        <v>1.1614733247380169</v>
      </c>
      <c r="J11" s="4">
        <f t="shared" si="5"/>
        <v>0.47424772487721328</v>
      </c>
      <c r="K11" s="4">
        <f t="shared" si="6"/>
        <v>4.1784941063266781E-5</v>
      </c>
      <c r="L11" s="9">
        <f t="shared" si="7"/>
        <v>63935043186733.742</v>
      </c>
      <c r="M11" s="4">
        <f t="shared" si="8"/>
        <v>3442177835185304</v>
      </c>
      <c r="N11" s="3">
        <f t="shared" si="9"/>
        <v>14.285714285714286</v>
      </c>
      <c r="O11" s="12">
        <v>700</v>
      </c>
      <c r="P11" s="13"/>
      <c r="Q11" s="4">
        <f t="shared" si="10"/>
        <v>120661399662.78067</v>
      </c>
      <c r="R11" s="4"/>
      <c r="S11" s="16"/>
      <c r="T11" s="16"/>
      <c r="U11" s="19"/>
      <c r="V11" s="17"/>
      <c r="W11" s="5"/>
      <c r="X11" s="9"/>
      <c r="Y11" s="4"/>
      <c r="Z11" s="6"/>
      <c r="AB11" s="6"/>
      <c r="AD11" s="6"/>
      <c r="AG11" s="6"/>
      <c r="AH11" s="6"/>
      <c r="AI11" s="6"/>
      <c r="AJ11" s="6"/>
      <c r="AK11" s="6"/>
    </row>
    <row r="12" spans="1:37" ht="15.75">
      <c r="A12" t="s">
        <v>8</v>
      </c>
      <c r="B12" s="6">
        <v>1E+30</v>
      </c>
      <c r="D12" s="3">
        <f t="shared" si="11"/>
        <v>0.84916508848213823</v>
      </c>
      <c r="E12" s="3">
        <f t="shared" si="0"/>
        <v>-7.1007869182476979E-2</v>
      </c>
      <c r="F12" s="3">
        <f t="shared" si="1"/>
        <v>-2.9797366490177155</v>
      </c>
      <c r="G12" s="4">
        <f t="shared" si="2"/>
        <v>1.5965659858510923E-3</v>
      </c>
      <c r="H12" s="3">
        <f t="shared" si="3"/>
        <v>-0.18292352159490449</v>
      </c>
      <c r="I12" s="3">
        <f t="shared" si="4"/>
        <v>1.1614733247380169</v>
      </c>
      <c r="J12" s="4">
        <f t="shared" si="5"/>
        <v>0.47424772487721328</v>
      </c>
      <c r="K12" s="4">
        <f t="shared" si="6"/>
        <v>3.6561823430358429E-5</v>
      </c>
      <c r="L12" s="9">
        <f t="shared" si="7"/>
        <v>67823786331033.422</v>
      </c>
      <c r="M12" s="4">
        <f t="shared" si="8"/>
        <v>2961699940759728.5</v>
      </c>
      <c r="N12" s="3">
        <f t="shared" si="9"/>
        <v>12.5</v>
      </c>
      <c r="O12" s="12">
        <v>800</v>
      </c>
      <c r="P12" s="13"/>
      <c r="Q12" s="4">
        <f t="shared" si="10"/>
        <v>91805395853.070923</v>
      </c>
      <c r="R12" s="4"/>
      <c r="S12" s="17"/>
      <c r="T12" s="17"/>
      <c r="U12" s="19"/>
      <c r="V12" s="17"/>
      <c r="W12" s="5"/>
      <c r="X12" s="9"/>
      <c r="Y12" s="4"/>
      <c r="Z12" s="6"/>
      <c r="AB12" s="6"/>
      <c r="AD12" s="6"/>
      <c r="AG12" s="6"/>
      <c r="AH12" s="6"/>
      <c r="AI12" s="6"/>
      <c r="AJ12" s="6"/>
      <c r="AK12" s="6"/>
    </row>
    <row r="13" spans="1:37" ht="15.75">
      <c r="A13" t="s">
        <v>19</v>
      </c>
      <c r="B13" s="6">
        <v>1E+30</v>
      </c>
      <c r="D13" s="3">
        <f t="shared" si="11"/>
        <v>0.85601384377890055</v>
      </c>
      <c r="E13" s="3">
        <f t="shared" si="0"/>
        <v>-6.7519211691808745E-2</v>
      </c>
      <c r="F13" s="3">
        <f t="shared" si="1"/>
        <v>-3.1131463331367506</v>
      </c>
      <c r="G13" s="4">
        <f t="shared" si="2"/>
        <v>1.1742949371173158E-3</v>
      </c>
      <c r="H13" s="3">
        <f t="shared" si="3"/>
        <v>-0.18292352159490449</v>
      </c>
      <c r="I13" s="3">
        <f t="shared" si="4"/>
        <v>1.1614733247380169</v>
      </c>
      <c r="J13" s="4">
        <f t="shared" si="5"/>
        <v>0.47424772487721328</v>
      </c>
      <c r="K13" s="4">
        <f t="shared" si="6"/>
        <v>3.2499398604763049E-5</v>
      </c>
      <c r="L13" s="9">
        <f t="shared" si="7"/>
        <v>71611384152110.969</v>
      </c>
      <c r="M13" s="4">
        <f t="shared" si="8"/>
        <v>2587521291469763</v>
      </c>
      <c r="N13" s="3">
        <f t="shared" si="9"/>
        <v>11.111111111111111</v>
      </c>
      <c r="O13" s="12">
        <v>900</v>
      </c>
      <c r="P13" s="13"/>
      <c r="Q13" s="4">
        <f t="shared" si="10"/>
        <v>71900242360.155533</v>
      </c>
      <c r="R13" s="4"/>
      <c r="S13" s="6"/>
      <c r="T13" s="6"/>
      <c r="U13" s="19"/>
      <c r="V13" s="17"/>
      <c r="W13" s="5"/>
      <c r="X13" s="9"/>
      <c r="Y13" s="4"/>
      <c r="Z13" s="6"/>
      <c r="AB13" s="6"/>
      <c r="AD13" s="6"/>
      <c r="AG13" s="6"/>
      <c r="AH13" s="6"/>
      <c r="AI13" s="6"/>
      <c r="AJ13" s="6"/>
      <c r="AK13" s="6"/>
    </row>
    <row r="14" spans="1:37" ht="15.75">
      <c r="D14" s="3">
        <f t="shared" si="11"/>
        <v>0.86174100981171076</v>
      </c>
      <c r="E14" s="3">
        <f t="shared" si="0"/>
        <v>-6.4623238711464359E-2</v>
      </c>
      <c r="F14" s="3">
        <f t="shared" si="1"/>
        <v>-3.2339282234163527</v>
      </c>
      <c r="G14" s="4">
        <f t="shared" si="2"/>
        <v>8.8919149111289276E-4</v>
      </c>
      <c r="H14" s="3">
        <f t="shared" si="3"/>
        <v>-0.18292352159490449</v>
      </c>
      <c r="I14" s="3">
        <f t="shared" si="4"/>
        <v>1.1614733247380169</v>
      </c>
      <c r="J14" s="4">
        <f t="shared" si="5"/>
        <v>0.47424772487721328</v>
      </c>
      <c r="K14" s="4">
        <f t="shared" si="6"/>
        <v>2.9249458744286746E-5</v>
      </c>
      <c r="L14" s="9">
        <f t="shared" si="7"/>
        <v>75298240556451.203</v>
      </c>
      <c r="M14" s="4">
        <f t="shared" si="8"/>
        <v>2289086966836481</v>
      </c>
      <c r="N14" s="3">
        <f t="shared" si="9"/>
        <v>10</v>
      </c>
      <c r="O14" s="12">
        <v>1000</v>
      </c>
      <c r="P14" s="13"/>
      <c r="Q14" s="4">
        <f t="shared" si="10"/>
        <v>57646227128.953796</v>
      </c>
      <c r="R14" s="4"/>
      <c r="S14" s="6"/>
      <c r="T14" s="6"/>
      <c r="U14" s="19"/>
      <c r="V14" s="17"/>
      <c r="W14" s="5"/>
      <c r="X14" s="9"/>
      <c r="Y14" s="4"/>
      <c r="Z14" s="6"/>
      <c r="AB14" s="6"/>
      <c r="AD14" s="6"/>
      <c r="AG14" s="6"/>
      <c r="AH14" s="6"/>
      <c r="AI14" s="6"/>
      <c r="AJ14" s="6"/>
      <c r="AK14" s="6"/>
    </row>
    <row r="15" spans="1:37" ht="15.75">
      <c r="D15" s="3">
        <f t="shared" si="11"/>
        <v>0.86661521697640997</v>
      </c>
      <c r="E15" s="3">
        <f t="shared" si="0"/>
        <v>-6.2173689417885827E-2</v>
      </c>
      <c r="F15" s="3">
        <f t="shared" si="1"/>
        <v>-3.3442440876491966</v>
      </c>
      <c r="G15" s="4">
        <f t="shared" si="2"/>
        <v>6.8973050469508103E-4</v>
      </c>
      <c r="H15" s="3">
        <f t="shared" si="3"/>
        <v>-0.18292352159490449</v>
      </c>
      <c r="I15" s="3">
        <f t="shared" si="4"/>
        <v>1.1614733247380169</v>
      </c>
      <c r="J15" s="4">
        <f t="shared" si="5"/>
        <v>0.47424772487721328</v>
      </c>
      <c r="K15" s="4">
        <f t="shared" si="6"/>
        <v>2.6590417040260677E-5</v>
      </c>
      <c r="L15" s="9">
        <f t="shared" si="7"/>
        <v>78888524675193.109</v>
      </c>
      <c r="M15" s="4">
        <f t="shared" si="8"/>
        <v>2046294417138554</v>
      </c>
      <c r="N15" s="3">
        <f t="shared" si="9"/>
        <v>9.0909090909090917</v>
      </c>
      <c r="O15" s="12">
        <v>1100</v>
      </c>
      <c r="P15" s="13"/>
      <c r="Q15" s="4">
        <f t="shared" si="10"/>
        <v>47121611662.642616</v>
      </c>
      <c r="R15" s="4"/>
      <c r="S15" s="6"/>
      <c r="T15" s="6"/>
      <c r="U15" s="19"/>
      <c r="V15" s="17"/>
      <c r="W15" s="5"/>
      <c r="X15" s="9"/>
      <c r="Y15" s="4"/>
      <c r="Z15" s="6"/>
      <c r="AB15" s="6"/>
      <c r="AD15" s="6"/>
      <c r="AG15" s="6"/>
      <c r="AH15" s="6"/>
      <c r="AI15" s="6"/>
      <c r="AJ15" s="6"/>
      <c r="AK15" s="6"/>
    </row>
    <row r="16" spans="1:37" ht="15.75">
      <c r="D16" s="3">
        <f t="shared" si="11"/>
        <v>0.87082450096291142</v>
      </c>
      <c r="E16" s="3">
        <f t="shared" si="0"/>
        <v>-6.0069360426414913E-2</v>
      </c>
      <c r="F16" s="3">
        <f t="shared" si="1"/>
        <v>-3.4457497861453756</v>
      </c>
      <c r="G16" s="4">
        <f t="shared" si="2"/>
        <v>5.4597623009948178E-4</v>
      </c>
      <c r="H16" s="3">
        <f t="shared" si="3"/>
        <v>-0.18292352159490449</v>
      </c>
      <c r="I16" s="3">
        <f t="shared" si="4"/>
        <v>1.1614733247380169</v>
      </c>
      <c r="J16" s="4">
        <f t="shared" si="5"/>
        <v>0.47424772487721328</v>
      </c>
      <c r="K16" s="4">
        <f t="shared" si="6"/>
        <v>2.4374548953572287E-5</v>
      </c>
      <c r="L16" s="9">
        <f t="shared" si="7"/>
        <v>82387769635664.406</v>
      </c>
      <c r="M16" s="4">
        <f t="shared" si="8"/>
        <v>1845439846196299.5</v>
      </c>
      <c r="N16" s="3">
        <f t="shared" si="9"/>
        <v>8.3333333333333339</v>
      </c>
      <c r="O16" s="12">
        <v>1200</v>
      </c>
      <c r="P16" s="13"/>
      <c r="Q16" s="4">
        <f t="shared" si="10"/>
        <v>39149847190.274597</v>
      </c>
      <c r="R16" s="4"/>
      <c r="S16" s="6"/>
      <c r="T16" s="6"/>
      <c r="U16" s="19"/>
      <c r="V16" s="17"/>
      <c r="W16" s="5"/>
      <c r="X16" s="9"/>
      <c r="Y16" s="4"/>
      <c r="Z16" s="6"/>
      <c r="AB16" s="6"/>
      <c r="AD16" s="6"/>
      <c r="AG16" s="6"/>
      <c r="AH16" s="6"/>
      <c r="AI16" s="6"/>
      <c r="AJ16" s="6"/>
      <c r="AK16" s="6"/>
    </row>
    <row r="17" spans="1:37" ht="15.75">
      <c r="D17" s="3">
        <f t="shared" si="11"/>
        <v>0.87450451730404311</v>
      </c>
      <c r="E17" s="3">
        <f t="shared" si="0"/>
        <v>-5.823794280605709E-2</v>
      </c>
      <c r="F17" s="3">
        <f t="shared" si="1"/>
        <v>-3.5397400421446554</v>
      </c>
      <c r="G17" s="4">
        <f t="shared" si="2"/>
        <v>4.3972735091327945E-4</v>
      </c>
      <c r="H17" s="3">
        <f t="shared" si="3"/>
        <v>-0.18292352159490449</v>
      </c>
      <c r="I17" s="3">
        <f t="shared" si="4"/>
        <v>1.1614733247380169</v>
      </c>
      <c r="J17" s="4">
        <f t="shared" si="5"/>
        <v>0.47424772487721328</v>
      </c>
      <c r="K17" s="4">
        <f t="shared" si="6"/>
        <v>2.2499583649451342E-5</v>
      </c>
      <c r="L17" s="9">
        <f t="shared" si="7"/>
        <v>85801817887422.609</v>
      </c>
      <c r="M17" s="4">
        <f t="shared" si="8"/>
        <v>1676893522609695.7</v>
      </c>
      <c r="N17" s="3">
        <f t="shared" si="9"/>
        <v>7.6923076923076925</v>
      </c>
      <c r="O17" s="12">
        <v>1300</v>
      </c>
      <c r="P17" s="13"/>
      <c r="Q17" s="4">
        <f t="shared" si="10"/>
        <v>32980033832.029537</v>
      </c>
      <c r="R17" s="4"/>
      <c r="S17" s="6"/>
      <c r="T17" s="6"/>
      <c r="U17" s="19"/>
      <c r="V17" s="17"/>
      <c r="W17" s="5"/>
      <c r="X17" s="9"/>
      <c r="Y17" s="4"/>
      <c r="Z17" s="6"/>
      <c r="AB17" s="6"/>
      <c r="AD17" s="6"/>
      <c r="AG17" s="6"/>
      <c r="AH17" s="6"/>
      <c r="AI17" s="6"/>
      <c r="AJ17" s="6"/>
      <c r="AK17" s="6"/>
    </row>
    <row r="18" spans="1:37" ht="15.75">
      <c r="A18" s="6"/>
      <c r="B18" s="6"/>
      <c r="D18" s="3">
        <f>10^E18</f>
        <v>0.88065401345876093</v>
      </c>
      <c r="E18" s="3">
        <f>LOG(J18)/(1+(F18/(I18-0.14*F18))^2)</f>
        <v>-5.5194681325161456E-2</v>
      </c>
      <c r="F18" s="3">
        <f>LOG(G18)+H18</f>
        <v>-3.7090994302569378</v>
      </c>
      <c r="G18" s="4">
        <f>M18*K18/L18</f>
        <v>2.9773102415424829E-4</v>
      </c>
      <c r="H18" s="3">
        <f>-0.4-0.67*LOG(J18)</f>
        <v>-0.18292352159490449</v>
      </c>
      <c r="I18" s="3">
        <f>0.75-1.27*LOG(J18)</f>
        <v>1.1614733247380169</v>
      </c>
      <c r="J18" s="4">
        <f t="shared" si="5"/>
        <v>0.47424772487721328</v>
      </c>
      <c r="K18" s="4">
        <f t="shared" si="6"/>
        <v>1.9499639162857828E-5</v>
      </c>
      <c r="L18" s="9">
        <f t="shared" si="7"/>
        <v>92396720595423.437</v>
      </c>
      <c r="M18" s="4">
        <f>$B$7*O18^$B$8*EXP(-$B$9/1.987/O18)</f>
        <v>1410763041388383.7</v>
      </c>
      <c r="N18" s="3">
        <f>10000/O18</f>
        <v>6.666666666666667</v>
      </c>
      <c r="O18" s="12">
        <v>1500</v>
      </c>
      <c r="P18" s="13"/>
      <c r="Q18" s="4">
        <f>L18/(1+L18/M18/K18)*D18</f>
        <v>24219026564.008537</v>
      </c>
      <c r="R18" s="4"/>
      <c r="S18" s="6"/>
      <c r="T18" s="6"/>
      <c r="U18" s="19"/>
      <c r="V18" s="17"/>
      <c r="W18" s="5"/>
      <c r="X18" s="9"/>
      <c r="Y18" s="4"/>
      <c r="Z18" s="6"/>
      <c r="AB18" s="6"/>
      <c r="AD18" s="6"/>
      <c r="AG18" s="6"/>
      <c r="AH18" s="6"/>
      <c r="AI18" s="6"/>
      <c r="AJ18" s="6"/>
      <c r="AK18" s="6"/>
    </row>
    <row r="19" spans="1:37" ht="15.75">
      <c r="B19" s="11"/>
      <c r="D19" s="3">
        <f>10^E19</f>
        <v>0.88775850363281272</v>
      </c>
      <c r="E19" s="3">
        <f>LOG(J19)/(1+(F19/(I19-0.14*F19))^2)</f>
        <v>-5.1705159000304618E-2</v>
      </c>
      <c r="F19" s="3">
        <f>LOG(G19)+H19</f>
        <v>-3.9270263727945776</v>
      </c>
      <c r="G19" s="4">
        <f>M19*K19/L19</f>
        <v>1.8025907941942283E-4</v>
      </c>
      <c r="H19" s="3">
        <f>-0.4-0.67*LOG(J19)</f>
        <v>-0.18292352159490449</v>
      </c>
      <c r="I19" s="3">
        <f>0.75-1.27*LOG(J19)</f>
        <v>1.1614733247380169</v>
      </c>
      <c r="J19" s="4">
        <f t="shared" si="5"/>
        <v>0.47424772487721328</v>
      </c>
      <c r="K19" s="4">
        <f t="shared" si="6"/>
        <v>1.6249699302381525E-5</v>
      </c>
      <c r="L19" s="9">
        <f t="shared" si="7"/>
        <v>101779852540394.17</v>
      </c>
      <c r="M19" s="4">
        <f>$B$7*O19^$B$8*EXP(-$B$9/1.987/O19)</f>
        <v>1129051201562061.7</v>
      </c>
      <c r="N19" s="3">
        <f>10000/O19</f>
        <v>5.5555555555555554</v>
      </c>
      <c r="O19" s="12">
        <v>1800</v>
      </c>
      <c r="P19" s="13"/>
      <c r="Q19" s="4">
        <f>L19/(1+L19/M19/K19)*D19</f>
        <v>16284541251.786249</v>
      </c>
      <c r="R19" s="4"/>
      <c r="S19" s="6"/>
      <c r="T19" s="6"/>
      <c r="U19" s="19"/>
      <c r="V19" s="17"/>
      <c r="W19" s="5"/>
      <c r="X19" s="9"/>
      <c r="Y19" s="4"/>
      <c r="Z19" s="6"/>
      <c r="AB19" s="6"/>
      <c r="AD19" s="6"/>
      <c r="AG19" s="6"/>
      <c r="AH19" s="6"/>
      <c r="AI19" s="6"/>
      <c r="AJ19" s="6"/>
      <c r="AK19" s="6"/>
    </row>
    <row r="20" spans="1:37">
      <c r="B20" s="10"/>
      <c r="D20" s="2" t="s">
        <v>4</v>
      </c>
      <c r="E20" s="2" t="s">
        <v>5</v>
      </c>
      <c r="F20" t="s">
        <v>6</v>
      </c>
      <c r="G20" s="6" t="s">
        <v>7</v>
      </c>
      <c r="H20" s="2" t="s">
        <v>8</v>
      </c>
      <c r="I20" t="s">
        <v>9</v>
      </c>
      <c r="J20" t="s">
        <v>10</v>
      </c>
      <c r="K20" s="6" t="s">
        <v>11</v>
      </c>
      <c r="L20" s="6" t="s">
        <v>12</v>
      </c>
      <c r="M20" s="6" t="s">
        <v>13</v>
      </c>
      <c r="N20" s="2" t="s">
        <v>14</v>
      </c>
      <c r="P20">
        <f>760*5</f>
        <v>3800</v>
      </c>
      <c r="Q20" s="6" t="s">
        <v>16</v>
      </c>
      <c r="S20" s="6"/>
      <c r="T20" s="6"/>
      <c r="Z20" s="6"/>
      <c r="AG20" s="6"/>
      <c r="AH20" s="6"/>
      <c r="AI20" s="6"/>
      <c r="AJ20" s="6"/>
      <c r="AK20" s="6"/>
    </row>
    <row r="21" spans="1:37" ht="15.75">
      <c r="D21" s="37">
        <f t="shared" ref="D21:D31" si="12">10^E21</f>
        <v>0.73346608421302251</v>
      </c>
      <c r="E21" s="37">
        <f t="shared" ref="E21:E31" si="13">LOG(J21)/(1+(F21/(I21-0.14*F21))^2)</f>
        <v>-0.13461996331991632</v>
      </c>
      <c r="F21" s="37">
        <f t="shared" ref="F21:F31" si="14">LOG(G21)+H21</f>
        <v>-1.6518654394207304</v>
      </c>
      <c r="G21" s="20">
        <f t="shared" ref="G21:G31" si="15">M21*K21/L21</f>
        <v>3.3967069682257871E-2</v>
      </c>
      <c r="H21" s="37">
        <f>-0.4-0.67*LOG(J21)</f>
        <v>-0.18292352159490449</v>
      </c>
      <c r="I21" s="37">
        <f t="shared" ref="I21:I31" si="16">0.75-1.27*LOG(J21)</f>
        <v>1.1614733247380169</v>
      </c>
      <c r="J21" s="20">
        <f>(1-$B$10)*EXP(-O21/$B$11)+$B$10*EXP(-O21/$B$12)+EXP(-B$13/O21)</f>
        <v>0.47424772487721328</v>
      </c>
      <c r="K21" s="20">
        <f t="shared" ref="K21:K33" si="17">$P$20*101325/760/8.314/O21/1000000</f>
        <v>2.0312124127976907E-4</v>
      </c>
      <c r="L21" s="38">
        <f>B$4*O21^B$5*EXP(-B$6/1.987/O21)</f>
        <v>48271057302442.148</v>
      </c>
      <c r="M21" s="20">
        <f t="shared" ref="M21:M31" si="18">$B$7*O21^$B$8*EXP(-$B$9/1.987/O21)</f>
        <v>8072156100946505</v>
      </c>
      <c r="N21" s="37">
        <f t="shared" ref="N21:N31" si="19">10000/O21</f>
        <v>33.333333333333336</v>
      </c>
      <c r="O21" s="39">
        <v>300</v>
      </c>
      <c r="P21" s="40"/>
      <c r="Q21" s="20">
        <f t="shared" ref="Q21:Q31" si="20">L21/(1+L21/M21/K21)*D21</f>
        <v>1163103126065.948</v>
      </c>
      <c r="R21" s="20">
        <f>0.0000000000014*6.02E+23</f>
        <v>842800000000</v>
      </c>
      <c r="S21" s="20">
        <f>(R21-Q21)^2/Q21^2</f>
        <v>7.583783189405735E-2</v>
      </c>
      <c r="T21" s="20"/>
      <c r="AG21" s="6"/>
      <c r="AH21" s="6"/>
      <c r="AI21" s="6"/>
      <c r="AJ21" s="6"/>
      <c r="AK21" s="6"/>
    </row>
    <row r="22" spans="1:37" ht="15.75">
      <c r="D22" s="7">
        <f t="shared" si="12"/>
        <v>0.76663092055117965</v>
      </c>
      <c r="E22" s="7">
        <f t="shared" si="13"/>
        <v>-0.11541366831419668</v>
      </c>
      <c r="F22" s="7">
        <f t="shared" si="14"/>
        <v>-1.9234150943431869</v>
      </c>
      <c r="G22" s="8">
        <f t="shared" si="15"/>
        <v>1.8176423261287093E-2</v>
      </c>
      <c r="H22" s="7">
        <f t="shared" ref="H22:H31" si="21">-0.4-0.67*LOG(J22)</f>
        <v>-0.18292352159490449</v>
      </c>
      <c r="I22" s="7">
        <f t="shared" si="16"/>
        <v>1.1614733247380169</v>
      </c>
      <c r="J22" s="4">
        <f t="shared" ref="J22:J33" si="22">(1-$B$10)*EXP(-O22/$B$11)+$B$10*EXP(-O22/$B$12)+EXP(-B$13/O22)</f>
        <v>0.47424772487721328</v>
      </c>
      <c r="K22" s="8">
        <f t="shared" si="17"/>
        <v>1.523409309598268E-4</v>
      </c>
      <c r="L22" s="9">
        <f t="shared" ref="L22:L33" si="23">B$4*O22^B$5*EXP(-B$6/1.987/O22)</f>
        <v>51915144096005.555</v>
      </c>
      <c r="M22" s="8">
        <f t="shared" si="18"/>
        <v>6194209440721797</v>
      </c>
      <c r="N22" s="7">
        <f t="shared" si="19"/>
        <v>25</v>
      </c>
      <c r="O22" s="12">
        <v>400</v>
      </c>
      <c r="P22" s="13"/>
      <c r="Q22" s="20">
        <f t="shared" si="20"/>
        <v>710502787882.90247</v>
      </c>
      <c r="R22" s="20"/>
      <c r="S22" s="6"/>
      <c r="T22" s="6"/>
      <c r="AG22" s="6"/>
      <c r="AH22" s="6"/>
      <c r="AI22" s="6"/>
      <c r="AJ22" s="6"/>
      <c r="AK22" s="6"/>
    </row>
    <row r="23" spans="1:37" ht="15.75">
      <c r="D23" s="7">
        <f t="shared" si="12"/>
        <v>0.78979934940459884</v>
      </c>
      <c r="E23" s="7">
        <f t="shared" si="13"/>
        <v>-0.10248322834840984</v>
      </c>
      <c r="F23" s="7">
        <f t="shared" si="14"/>
        <v>-2.1501324596030482</v>
      </c>
      <c r="G23" s="8">
        <f t="shared" si="15"/>
        <v>1.0784277684565335E-2</v>
      </c>
      <c r="H23" s="7">
        <f t="shared" si="21"/>
        <v>-0.18292352159490449</v>
      </c>
      <c r="I23" s="7">
        <f t="shared" si="16"/>
        <v>1.1614733247380169</v>
      </c>
      <c r="J23" s="4">
        <f t="shared" si="22"/>
        <v>0.47424772487721328</v>
      </c>
      <c r="K23" s="8">
        <f t="shared" si="17"/>
        <v>1.2187274476786144E-4</v>
      </c>
      <c r="L23" s="9">
        <f t="shared" si="23"/>
        <v>55914419404048.281</v>
      </c>
      <c r="M23" s="8">
        <f t="shared" si="18"/>
        <v>4947756174467637</v>
      </c>
      <c r="N23" s="7">
        <f t="shared" si="19"/>
        <v>20</v>
      </c>
      <c r="O23" s="12">
        <v>500</v>
      </c>
      <c r="P23" s="13"/>
      <c r="Q23" s="8">
        <f t="shared" si="20"/>
        <v>471165166463.01093</v>
      </c>
      <c r="R23" s="8"/>
      <c r="S23" s="6"/>
      <c r="T23" s="6"/>
      <c r="AG23" s="6"/>
      <c r="AH23" s="6"/>
      <c r="AI23" s="6"/>
      <c r="AJ23" s="6"/>
      <c r="AK23" s="6"/>
    </row>
    <row r="24" spans="1:37" ht="15.75">
      <c r="D24" s="7">
        <f t="shared" si="12"/>
        <v>0.8068184430972507</v>
      </c>
      <c r="E24" s="7">
        <f t="shared" si="13"/>
        <v>-9.3224182789692259E-2</v>
      </c>
      <c r="F24" s="7">
        <f t="shared" si="14"/>
        <v>-2.3436378829062194</v>
      </c>
      <c r="G24" s="8">
        <f t="shared" si="15"/>
        <v>6.9069392898207698E-3</v>
      </c>
      <c r="H24" s="7">
        <f t="shared" si="21"/>
        <v>-0.18292352159490449</v>
      </c>
      <c r="I24" s="7">
        <f t="shared" si="16"/>
        <v>1.1614733247380169</v>
      </c>
      <c r="J24" s="4">
        <f t="shared" si="22"/>
        <v>0.47424772487721328</v>
      </c>
      <c r="K24" s="8">
        <f t="shared" si="17"/>
        <v>1.0156062063988453E-4</v>
      </c>
      <c r="L24" s="9">
        <f t="shared" si="23"/>
        <v>59954213423504.078</v>
      </c>
      <c r="M24" s="8">
        <f t="shared" si="18"/>
        <v>4077368862813705</v>
      </c>
      <c r="N24" s="7">
        <f t="shared" si="19"/>
        <v>16.666666666666668</v>
      </c>
      <c r="O24" s="12">
        <v>600</v>
      </c>
      <c r="P24" s="13"/>
      <c r="Q24" s="20">
        <f t="shared" si="20"/>
        <v>331811803895.11169</v>
      </c>
      <c r="R24" s="20"/>
      <c r="S24" s="6"/>
      <c r="T24" s="6"/>
      <c r="AG24" s="6"/>
      <c r="AH24" s="6"/>
      <c r="AI24" s="6"/>
      <c r="AJ24" s="6"/>
      <c r="AK24" s="6"/>
    </row>
    <row r="25" spans="1:37" ht="15.75">
      <c r="D25" s="7">
        <f t="shared" si="12"/>
        <v>0.81986156858588277</v>
      </c>
      <c r="E25" s="7">
        <f t="shared" si="13"/>
        <v>-8.6259470877914246E-2</v>
      </c>
      <c r="F25" s="7">
        <f t="shared" si="14"/>
        <v>-2.5120506241257967</v>
      </c>
      <c r="G25" s="8">
        <f t="shared" si="15"/>
        <v>4.6867619723693745E-3</v>
      </c>
      <c r="H25" s="7">
        <f t="shared" si="21"/>
        <v>-0.18292352159490449</v>
      </c>
      <c r="I25" s="7">
        <f t="shared" si="16"/>
        <v>1.1614733247380169</v>
      </c>
      <c r="J25" s="4">
        <f t="shared" si="22"/>
        <v>0.47424772487721328</v>
      </c>
      <c r="K25" s="8">
        <f t="shared" si="17"/>
        <v>8.7051960548472444E-5</v>
      </c>
      <c r="L25" s="9">
        <f t="shared" si="23"/>
        <v>63935043186733.742</v>
      </c>
      <c r="M25" s="8">
        <f t="shared" si="18"/>
        <v>3442177835185304</v>
      </c>
      <c r="N25" s="7">
        <f t="shared" si="19"/>
        <v>14.285714285714286</v>
      </c>
      <c r="O25" s="12">
        <v>700</v>
      </c>
      <c r="P25" s="13"/>
      <c r="Q25" s="8">
        <f t="shared" si="20"/>
        <v>244524122767.83768</v>
      </c>
      <c r="R25" s="8"/>
      <c r="S25" s="6"/>
      <c r="T25" s="6"/>
      <c r="AG25" s="6"/>
      <c r="AH25" s="6"/>
      <c r="AI25" s="6"/>
      <c r="AJ25" s="6"/>
      <c r="AK25" s="6"/>
    </row>
    <row r="26" spans="1:37" ht="15.75">
      <c r="D26" s="7">
        <f t="shared" si="12"/>
        <v>0.83020183155620786</v>
      </c>
      <c r="E26" s="7">
        <f t="shared" si="13"/>
        <v>-8.0816312834303849E-2</v>
      </c>
      <c r="F26" s="7">
        <f t="shared" si="14"/>
        <v>-2.6609778863933027</v>
      </c>
      <c r="G26" s="8">
        <f t="shared" si="15"/>
        <v>3.3261791371897759E-3</v>
      </c>
      <c r="H26" s="7">
        <f t="shared" si="21"/>
        <v>-0.18292352159490449</v>
      </c>
      <c r="I26" s="7">
        <f t="shared" si="16"/>
        <v>1.1614733247380169</v>
      </c>
      <c r="J26" s="4">
        <f t="shared" si="22"/>
        <v>0.47424772487721328</v>
      </c>
      <c r="K26" s="8">
        <f t="shared" si="17"/>
        <v>7.6170465479913401E-5</v>
      </c>
      <c r="L26" s="9">
        <f t="shared" si="23"/>
        <v>67823786331033.422</v>
      </c>
      <c r="M26" s="8">
        <f t="shared" si="18"/>
        <v>2961699940759728.5</v>
      </c>
      <c r="N26" s="7">
        <f t="shared" si="19"/>
        <v>12.5</v>
      </c>
      <c r="O26" s="12">
        <v>800</v>
      </c>
      <c r="P26" s="13"/>
      <c r="Q26" s="8">
        <f t="shared" si="20"/>
        <v>186667714117.12869</v>
      </c>
      <c r="R26" s="8"/>
      <c r="S26" s="6"/>
      <c r="T26" s="6"/>
      <c r="AG26" s="6"/>
      <c r="AH26" s="6"/>
      <c r="AI26" s="6"/>
      <c r="AJ26" s="6"/>
      <c r="AK26" s="6"/>
    </row>
    <row r="27" spans="1:37" ht="15.75">
      <c r="D27" s="7">
        <f t="shared" si="12"/>
        <v>0.84228192209205666</v>
      </c>
      <c r="E27" s="7">
        <f t="shared" si="13"/>
        <v>-7.4542520476594695E-2</v>
      </c>
      <c r="F27" s="7">
        <f t="shared" si="14"/>
        <v>-2.8562078921032659</v>
      </c>
      <c r="G27" s="8">
        <f t="shared" si="15"/>
        <v>2.1218546435730133E-3</v>
      </c>
      <c r="H27" s="7">
        <f t="shared" si="21"/>
        <v>-0.18292352159490449</v>
      </c>
      <c r="I27" s="7">
        <f t="shared" si="16"/>
        <v>1.1614733247380169</v>
      </c>
      <c r="J27" s="4">
        <f t="shared" si="22"/>
        <v>0.47424772487721328</v>
      </c>
      <c r="K27" s="8">
        <f t="shared" si="17"/>
        <v>6.414354987782181E-5</v>
      </c>
      <c r="L27" s="9">
        <f t="shared" si="23"/>
        <v>73467195161407.453</v>
      </c>
      <c r="M27" s="8">
        <f t="shared" si="18"/>
        <v>2430278796549992.5</v>
      </c>
      <c r="N27" s="7">
        <f t="shared" si="19"/>
        <v>10.526315789473685</v>
      </c>
      <c r="O27" s="12">
        <v>950</v>
      </c>
      <c r="P27" s="13"/>
      <c r="Q27" s="8">
        <f t="shared" si="20"/>
        <v>131022546258.35292</v>
      </c>
      <c r="R27" s="8"/>
      <c r="S27" s="6"/>
      <c r="T27" s="6"/>
      <c r="AG27" s="6"/>
      <c r="AH27" s="6"/>
      <c r="AI27" s="6"/>
      <c r="AJ27" s="6"/>
      <c r="AK27" s="6"/>
    </row>
    <row r="28" spans="1:37" ht="15.75">
      <c r="D28" s="7">
        <f t="shared" si="12"/>
        <v>0.84563582974430707</v>
      </c>
      <c r="E28" s="7">
        <f t="shared" si="13"/>
        <v>-7.2816624174397979E-2</v>
      </c>
      <c r="F28" s="7">
        <f t="shared" si="14"/>
        <v>-2.9151694607919403</v>
      </c>
      <c r="G28" s="8">
        <f t="shared" si="15"/>
        <v>1.8524822731518598E-3</v>
      </c>
      <c r="H28" s="7">
        <f t="shared" si="21"/>
        <v>-0.18292352159490449</v>
      </c>
      <c r="I28" s="7">
        <f t="shared" si="16"/>
        <v>1.1614733247380169</v>
      </c>
      <c r="J28" s="4">
        <f t="shared" si="22"/>
        <v>0.47424772487721328</v>
      </c>
      <c r="K28" s="8">
        <f t="shared" si="17"/>
        <v>6.0936372383930719E-5</v>
      </c>
      <c r="L28" s="9">
        <f t="shared" si="23"/>
        <v>75298240556451.203</v>
      </c>
      <c r="M28" s="8">
        <f t="shared" si="18"/>
        <v>2289086966836481</v>
      </c>
      <c r="N28" s="7">
        <f t="shared" si="19"/>
        <v>10</v>
      </c>
      <c r="O28" s="12">
        <v>1000</v>
      </c>
      <c r="P28" s="13"/>
      <c r="Q28" s="8">
        <f t="shared" si="20"/>
        <v>117738496734.9473</v>
      </c>
      <c r="R28" s="8"/>
      <c r="S28" s="6"/>
      <c r="T28" s="6"/>
      <c r="AG28" s="6"/>
      <c r="AH28" s="6"/>
      <c r="AI28" s="6"/>
      <c r="AJ28" s="6"/>
      <c r="AK28" s="6"/>
    </row>
    <row r="29" spans="1:37" ht="15.75">
      <c r="D29" s="7">
        <f t="shared" si="12"/>
        <v>0.8410960740691088</v>
      </c>
      <c r="E29" s="7">
        <f t="shared" si="13"/>
        <v>-7.5154394148587822E-2</v>
      </c>
      <c r="F29" s="7">
        <f t="shared" si="14"/>
        <v>-2.8358905221604687</v>
      </c>
      <c r="G29" s="8">
        <f t="shared" si="15"/>
        <v>2.223478833061429E-3</v>
      </c>
      <c r="H29" s="7">
        <f t="shared" si="21"/>
        <v>-0.18292352159490449</v>
      </c>
      <c r="I29" s="7">
        <f t="shared" si="16"/>
        <v>1.1614733247380169</v>
      </c>
      <c r="J29" s="4">
        <f t="shared" si="22"/>
        <v>0.47424772487721328</v>
      </c>
      <c r="K29" s="8">
        <f>760*8.1*101325/760/8.314/O29/1000000</f>
        <v>8.8218876909712041E-5</v>
      </c>
      <c r="L29" s="9">
        <f t="shared" si="23"/>
        <v>79560208708896.016</v>
      </c>
      <c r="M29" s="8">
        <f t="shared" si="18"/>
        <v>2005244752766795</v>
      </c>
      <c r="N29" s="7">
        <f t="shared" si="19"/>
        <v>8.9365504915102765</v>
      </c>
      <c r="O29" s="12">
        <v>1119</v>
      </c>
      <c r="P29" s="13"/>
      <c r="Q29" s="8">
        <f t="shared" si="20"/>
        <v>148460167560.26593</v>
      </c>
      <c r="R29" s="8"/>
      <c r="S29" s="6"/>
      <c r="T29" s="6"/>
      <c r="AG29" s="6"/>
      <c r="AH29" s="6"/>
      <c r="AI29" s="6"/>
      <c r="AJ29" s="6"/>
      <c r="AK29" s="6"/>
    </row>
    <row r="30" spans="1:37" ht="15.75">
      <c r="D30" s="7">
        <f t="shared" si="12"/>
        <v>0.84470708882957923</v>
      </c>
      <c r="E30" s="7">
        <f t="shared" si="13"/>
        <v>-7.3293861178250846E-2</v>
      </c>
      <c r="F30" s="7">
        <f t="shared" si="14"/>
        <v>-2.8986152505673553</v>
      </c>
      <c r="G30" s="8">
        <f t="shared" si="15"/>
        <v>1.9244572629900296E-3</v>
      </c>
      <c r="H30" s="7">
        <f t="shared" si="21"/>
        <v>-0.18292352159490449</v>
      </c>
      <c r="I30" s="7">
        <f t="shared" si="16"/>
        <v>1.1614733247380169</v>
      </c>
      <c r="J30" s="4">
        <f t="shared" si="22"/>
        <v>0.47424772487721328</v>
      </c>
      <c r="K30" s="8">
        <f>760*7.3*101325/760/8.314/O30/1000000</f>
        <v>7.8316112394840532E-5</v>
      </c>
      <c r="L30" s="9">
        <f t="shared" si="23"/>
        <v>80158435686130.437</v>
      </c>
      <c r="M30" s="8">
        <f t="shared" si="18"/>
        <v>1969728565794535.7</v>
      </c>
      <c r="N30" s="7">
        <f t="shared" si="19"/>
        <v>8.8028169014084501</v>
      </c>
      <c r="O30" s="12">
        <v>1136</v>
      </c>
      <c r="P30" s="13"/>
      <c r="Q30" s="8">
        <f t="shared" si="20"/>
        <v>130055482635.54395</v>
      </c>
      <c r="R30" s="8"/>
      <c r="S30" s="6"/>
      <c r="T30" s="6"/>
      <c r="AG30" s="6"/>
      <c r="AH30" s="6"/>
      <c r="AI30" s="6"/>
      <c r="AJ30" s="6"/>
      <c r="AK30" s="6"/>
    </row>
    <row r="31" spans="1:37" ht="15.75">
      <c r="D31" s="7">
        <f t="shared" si="12"/>
        <v>0.86114726943362152</v>
      </c>
      <c r="E31" s="7">
        <f t="shared" si="13"/>
        <v>-6.4922571155943201E-2</v>
      </c>
      <c r="F31" s="7">
        <f t="shared" si="14"/>
        <v>-3.2209812795202426</v>
      </c>
      <c r="G31" s="8">
        <f t="shared" si="15"/>
        <v>9.160986477359988E-4</v>
      </c>
      <c r="H31" s="7">
        <f t="shared" si="21"/>
        <v>-0.18292352159490449</v>
      </c>
      <c r="I31" s="7">
        <f t="shared" si="16"/>
        <v>1.1614733247380169</v>
      </c>
      <c r="J31" s="4">
        <f t="shared" si="22"/>
        <v>0.47424772487721328</v>
      </c>
      <c r="K31" s="8">
        <f t="shared" si="17"/>
        <v>4.6874132603023633E-5</v>
      </c>
      <c r="L31" s="9">
        <f t="shared" si="23"/>
        <v>85801817887422.609</v>
      </c>
      <c r="M31" s="8">
        <f t="shared" si="18"/>
        <v>1676893522609695.7</v>
      </c>
      <c r="N31" s="7">
        <f t="shared" si="19"/>
        <v>7.6923076923076925</v>
      </c>
      <c r="O31" s="12">
        <v>1300</v>
      </c>
      <c r="P31" s="13"/>
      <c r="Q31" s="8">
        <f t="shared" si="20"/>
        <v>67626745200.759766</v>
      </c>
      <c r="R31" s="8"/>
      <c r="S31" s="6"/>
      <c r="T31" s="6"/>
      <c r="AG31" s="6"/>
      <c r="AH31" s="6"/>
      <c r="AI31" s="6"/>
      <c r="AJ31" s="6"/>
      <c r="AK31" s="6"/>
    </row>
    <row r="32" spans="1:37" ht="15.75">
      <c r="D32" s="7">
        <f>10^E32</f>
        <v>0.86855819655294852</v>
      </c>
      <c r="E32" s="7">
        <f>LOG(J32)/(1+(F32/(I32-0.14*F32))^2)</f>
        <v>-6.1201076934726331E-2</v>
      </c>
      <c r="F32" s="7">
        <f>LOG(G32)+H32</f>
        <v>-3.390340667632525</v>
      </c>
      <c r="G32" s="8">
        <f>M32*K32/L32</f>
        <v>6.2027296698801738E-4</v>
      </c>
      <c r="H32" s="7">
        <f>-0.4-0.67*LOG(J32)</f>
        <v>-0.18292352159490449</v>
      </c>
      <c r="I32" s="7">
        <f>0.75-1.27*LOG(J32)</f>
        <v>1.1614733247380169</v>
      </c>
      <c r="J32" s="4">
        <f t="shared" si="22"/>
        <v>0.47424772487721328</v>
      </c>
      <c r="K32" s="8">
        <f t="shared" si="17"/>
        <v>4.0624248255953815E-5</v>
      </c>
      <c r="L32" s="9">
        <f t="shared" si="23"/>
        <v>92396720595423.437</v>
      </c>
      <c r="M32" s="8">
        <f>$B$7*O32^$B$8*EXP(-$B$9/1.987/O32)</f>
        <v>1410763041388383.7</v>
      </c>
      <c r="N32" s="7">
        <f>10000/O32</f>
        <v>6.666666666666667</v>
      </c>
      <c r="O32" s="12">
        <v>1500</v>
      </c>
      <c r="P32" s="13"/>
      <c r="Q32" s="8">
        <f>L32/(1+L32/M32/K32)*D32</f>
        <v>49747245240.754814</v>
      </c>
      <c r="R32" s="8"/>
      <c r="S32" s="6"/>
      <c r="T32" s="6"/>
      <c r="Z32" s="6"/>
      <c r="AG32" s="6"/>
      <c r="AH32" s="6"/>
      <c r="AI32" s="6"/>
      <c r="AJ32" s="6"/>
      <c r="AK32" s="6"/>
    </row>
    <row r="33" spans="4:45" ht="15.75">
      <c r="D33" s="7">
        <f>10^E33</f>
        <v>0.87706432780483068</v>
      </c>
      <c r="E33" s="7">
        <f>LOG(J33)/(1+(F33/(I33-0.14*F33))^2)</f>
        <v>-5.6968552373838501E-2</v>
      </c>
      <c r="F33" s="7">
        <f>LOG(G33)+H33</f>
        <v>-3.6082676101701647</v>
      </c>
      <c r="G33" s="8">
        <f>M33*K33/L33</f>
        <v>3.7553974879046424E-4</v>
      </c>
      <c r="H33" s="7">
        <f>-0.4-0.67*LOG(J33)</f>
        <v>-0.18292352159490449</v>
      </c>
      <c r="I33" s="7">
        <f>0.75-1.27*LOG(J33)</f>
        <v>1.1614733247380169</v>
      </c>
      <c r="J33" s="4">
        <f t="shared" si="22"/>
        <v>0.47424772487721328</v>
      </c>
      <c r="K33" s="8">
        <f t="shared" si="17"/>
        <v>3.3853540213294842E-5</v>
      </c>
      <c r="L33" s="9">
        <f t="shared" si="23"/>
        <v>101779852540394.17</v>
      </c>
      <c r="M33" s="8">
        <f>$B$7*O33^$B$8*EXP(-$B$9/1.987/O33)</f>
        <v>1129051201562061.7</v>
      </c>
      <c r="N33" s="7">
        <f>10000/O33</f>
        <v>5.5555555555555554</v>
      </c>
      <c r="O33" s="12">
        <v>1800</v>
      </c>
      <c r="P33" s="13"/>
      <c r="Q33" s="8">
        <f>L33/(1+L33/M33/K33)*D33</f>
        <v>33510901569.851173</v>
      </c>
      <c r="R33" s="8"/>
      <c r="S33" s="6"/>
      <c r="T33" s="6"/>
      <c r="Z33" s="10"/>
      <c r="AG33" s="6"/>
      <c r="AH33" s="6"/>
      <c r="AI33" s="6"/>
      <c r="AJ33" s="6"/>
      <c r="AK33" s="6"/>
    </row>
    <row r="34" spans="4:45">
      <c r="D34" s="2" t="s">
        <v>4</v>
      </c>
      <c r="E34" s="2" t="s">
        <v>5</v>
      </c>
      <c r="F34" t="s">
        <v>6</v>
      </c>
      <c r="G34" s="6" t="s">
        <v>7</v>
      </c>
      <c r="H34" s="2" t="s">
        <v>8</v>
      </c>
      <c r="I34" t="s">
        <v>9</v>
      </c>
      <c r="J34" t="s">
        <v>10</v>
      </c>
      <c r="K34" s="6" t="s">
        <v>11</v>
      </c>
      <c r="L34" s="6" t="s">
        <v>12</v>
      </c>
      <c r="M34" s="6" t="s">
        <v>13</v>
      </c>
      <c r="N34" s="2" t="s">
        <v>14</v>
      </c>
      <c r="P34">
        <f>760*7</f>
        <v>5320</v>
      </c>
      <c r="Q34" s="6" t="s">
        <v>16</v>
      </c>
      <c r="S34" s="6"/>
      <c r="T34" s="6"/>
      <c r="Z34" s="10"/>
      <c r="AG34" s="6"/>
      <c r="AH34" s="6"/>
      <c r="AI34" s="6"/>
      <c r="AJ34" s="6"/>
      <c r="AK34" s="6"/>
    </row>
    <row r="35" spans="4:45" ht="15.75">
      <c r="D35" s="2">
        <f t="shared" ref="D35:D45" si="24">10^E35</f>
        <v>0.71284457791168954</v>
      </c>
      <c r="E35" s="2">
        <f t="shared" ref="E35:E45" si="25">LOG(J35)/(1+(F35/(I35-0.14*F35))^2)</f>
        <v>-0.14700514940929951</v>
      </c>
      <c r="F35" s="2">
        <f t="shared" ref="F35:F45" si="26">LOG(G35)+H35</f>
        <v>-1.5057374037424924</v>
      </c>
      <c r="G35" s="6">
        <f t="shared" ref="G35:G45" si="27">M35*K35/L35</f>
        <v>4.7553897555161005E-2</v>
      </c>
      <c r="H35" s="2">
        <f>-0.4-0.67*LOG(J35)</f>
        <v>-0.18292352159490449</v>
      </c>
      <c r="I35" s="2">
        <f t="shared" ref="I35:I45" si="28">0.75-1.27*LOG(J35)</f>
        <v>1.1614733247380169</v>
      </c>
      <c r="J35" s="4">
        <f>(1-$B$10)*EXP(-O35/$B$11)+$B$10*EXP(-O35/$B$12)+EXP(-B$13/O35)</f>
        <v>0.47424772487721328</v>
      </c>
      <c r="K35" s="6">
        <f t="shared" ref="K35:K45" si="29">$P$34*101325/760/8.314/O35/1000000</f>
        <v>2.8436973779167668E-4</v>
      </c>
      <c r="L35" s="9">
        <f>B$4*O35^B$5*EXP(-B$6/1.987/O35)</f>
        <v>48271057302442.148</v>
      </c>
      <c r="M35" s="23">
        <f t="shared" ref="M35:M45" si="30">$B$7*O35^$B$8*EXP(-$B$9/1.987/O35)</f>
        <v>8072156100946505</v>
      </c>
      <c r="N35" s="2">
        <f t="shared" ref="N35:N45" si="31">10000/O35</f>
        <v>33.333333333333336</v>
      </c>
      <c r="O35" s="12">
        <v>300</v>
      </c>
      <c r="P35" s="13"/>
      <c r="Q35" s="6">
        <f t="shared" ref="Q35:Q45" si="32">L35/(1+L35/M35/K35)*D35</f>
        <v>1562037309556.0774</v>
      </c>
      <c r="R35" s="6"/>
      <c r="S35" s="6"/>
      <c r="T35" s="6"/>
      <c r="U35" s="23"/>
      <c r="AG35" s="6"/>
      <c r="AH35" s="6"/>
      <c r="AI35" s="6"/>
      <c r="AJ35" s="6"/>
      <c r="AK35" s="6"/>
    </row>
    <row r="36" spans="4:45" ht="15.75">
      <c r="D36" s="37">
        <f t="shared" si="24"/>
        <v>0.74957812614427755</v>
      </c>
      <c r="E36" s="37">
        <f t="shared" si="25"/>
        <v>-0.12518309532391314</v>
      </c>
      <c r="F36" s="37">
        <f t="shared" si="26"/>
        <v>-1.777287058664949</v>
      </c>
      <c r="G36" s="20">
        <f t="shared" si="27"/>
        <v>2.5446992565801931E-2</v>
      </c>
      <c r="H36" s="37">
        <f t="shared" ref="H36:H45" si="33">-0.4-0.67*LOG(J36)</f>
        <v>-0.18292352159490449</v>
      </c>
      <c r="I36" s="37">
        <f t="shared" si="28"/>
        <v>1.1614733247380169</v>
      </c>
      <c r="J36" s="20">
        <f t="shared" ref="J36:J47" si="34">(1-$B$10)*EXP(-O36/$B$11)+$B$10*EXP(-O36/$B$12)+EXP(-B$13/O36)</f>
        <v>0.47424772487721328</v>
      </c>
      <c r="K36" s="20">
        <f t="shared" si="29"/>
        <v>2.1327730334375753E-4</v>
      </c>
      <c r="L36" s="38">
        <f t="shared" ref="L36:L47" si="35">B$4*O36^B$5*EXP(-B$6/1.987/O36)</f>
        <v>51915144096005.555</v>
      </c>
      <c r="M36" s="41">
        <f t="shared" si="30"/>
        <v>6194209440721797</v>
      </c>
      <c r="N36" s="37">
        <f t="shared" si="31"/>
        <v>25</v>
      </c>
      <c r="O36" s="39">
        <v>400</v>
      </c>
      <c r="P36" s="40"/>
      <c r="Q36" s="20">
        <f t="shared" si="32"/>
        <v>965682176314.67334</v>
      </c>
      <c r="R36" s="20">
        <f>0.0000000000014*6.02E+23</f>
        <v>842800000000</v>
      </c>
      <c r="S36" s="20">
        <f>(R36-Q36)^2/Q36^2</f>
        <v>1.6192330418119634E-2</v>
      </c>
      <c r="T36" s="20"/>
      <c r="U36" s="23"/>
      <c r="AG36" s="6"/>
      <c r="AH36" s="6"/>
      <c r="AI36" s="6"/>
      <c r="AJ36" s="6"/>
      <c r="AK36" s="6"/>
    </row>
    <row r="37" spans="4:45" ht="15.75">
      <c r="D37" s="2">
        <f t="shared" si="24"/>
        <v>0.77530050493295366</v>
      </c>
      <c r="E37" s="2">
        <f t="shared" si="25"/>
        <v>-0.11052993318575623</v>
      </c>
      <c r="F37" s="2">
        <f t="shared" si="26"/>
        <v>-2.00400442392481</v>
      </c>
      <c r="G37" s="6">
        <f t="shared" si="27"/>
        <v>1.5097988758391469E-2</v>
      </c>
      <c r="H37" s="2">
        <f t="shared" si="33"/>
        <v>-0.18292352159490449</v>
      </c>
      <c r="I37" s="2">
        <f t="shared" si="28"/>
        <v>1.1614733247380169</v>
      </c>
      <c r="J37" s="4">
        <f t="shared" si="34"/>
        <v>0.47424772487721328</v>
      </c>
      <c r="K37" s="6">
        <f t="shared" si="29"/>
        <v>1.7062184267500601E-4</v>
      </c>
      <c r="L37" s="9">
        <f t="shared" si="35"/>
        <v>55914419404048.281</v>
      </c>
      <c r="M37" s="23">
        <f t="shared" si="30"/>
        <v>4947756174467637</v>
      </c>
      <c r="N37" s="2">
        <f t="shared" si="31"/>
        <v>20</v>
      </c>
      <c r="O37" s="12">
        <v>500</v>
      </c>
      <c r="P37" s="13"/>
      <c r="Q37" s="6">
        <f t="shared" si="32"/>
        <v>644770288857.3667</v>
      </c>
      <c r="R37" s="6"/>
      <c r="S37" s="6"/>
      <c r="T37" s="6"/>
      <c r="U37" s="23"/>
      <c r="AG37" s="6"/>
      <c r="AH37" s="6"/>
      <c r="AI37" s="6"/>
      <c r="AJ37" s="6"/>
      <c r="AK37" s="6"/>
    </row>
    <row r="38" spans="4:45" ht="15.75">
      <c r="D38" s="2">
        <f t="shared" si="24"/>
        <v>0.79418453186560534</v>
      </c>
      <c r="E38" s="2">
        <f t="shared" si="25"/>
        <v>-0.10007857583525878</v>
      </c>
      <c r="F38" s="2">
        <f t="shared" si="26"/>
        <v>-2.1975098472279813</v>
      </c>
      <c r="G38" s="6">
        <f t="shared" si="27"/>
        <v>9.6697150057490772E-3</v>
      </c>
      <c r="H38" s="2">
        <f t="shared" si="33"/>
        <v>-0.18292352159490449</v>
      </c>
      <c r="I38" s="2">
        <f t="shared" si="28"/>
        <v>1.1614733247380169</v>
      </c>
      <c r="J38" s="4">
        <f t="shared" si="34"/>
        <v>0.47424772487721328</v>
      </c>
      <c r="K38" s="6">
        <f t="shared" si="29"/>
        <v>1.4218486889583834E-4</v>
      </c>
      <c r="L38" s="9">
        <f t="shared" si="35"/>
        <v>59954213423504.078</v>
      </c>
      <c r="M38" s="23">
        <f t="shared" si="30"/>
        <v>4077368862813705</v>
      </c>
      <c r="N38" s="2">
        <f t="shared" si="31"/>
        <v>16.666666666666668</v>
      </c>
      <c r="O38" s="12">
        <v>600</v>
      </c>
      <c r="P38" s="13"/>
      <c r="Q38" s="6">
        <f t="shared" si="32"/>
        <v>456011167321.4541</v>
      </c>
      <c r="R38" s="6"/>
      <c r="S38" s="6"/>
      <c r="T38" s="6"/>
      <c r="U38" s="23"/>
      <c r="AG38" s="6"/>
      <c r="AH38" s="6"/>
      <c r="AI38" s="6"/>
      <c r="AJ38" s="6"/>
      <c r="AK38" s="6"/>
    </row>
    <row r="39" spans="4:45" ht="15.75">
      <c r="D39" s="2">
        <f t="shared" si="24"/>
        <v>0.80863340057383559</v>
      </c>
      <c r="E39" s="2">
        <f t="shared" si="25"/>
        <v>-9.2248324113738692E-2</v>
      </c>
      <c r="F39" s="2">
        <f t="shared" si="26"/>
        <v>-2.3659225884475585</v>
      </c>
      <c r="G39" s="6">
        <f t="shared" si="27"/>
        <v>6.561466761317125E-3</v>
      </c>
      <c r="H39" s="2">
        <f t="shared" si="33"/>
        <v>-0.18292352159490449</v>
      </c>
      <c r="I39" s="2">
        <f t="shared" si="28"/>
        <v>1.1614733247380169</v>
      </c>
      <c r="J39" s="4">
        <f t="shared" si="34"/>
        <v>0.47424772487721328</v>
      </c>
      <c r="K39" s="6">
        <f t="shared" si="29"/>
        <v>1.2187274476786144E-4</v>
      </c>
      <c r="L39" s="9">
        <f t="shared" si="35"/>
        <v>63935043186733.742</v>
      </c>
      <c r="M39" s="23">
        <f t="shared" si="30"/>
        <v>3442177835185304</v>
      </c>
      <c r="N39" s="2">
        <f t="shared" si="31"/>
        <v>14.285714285714286</v>
      </c>
      <c r="O39" s="12">
        <v>700</v>
      </c>
      <c r="P39" s="13"/>
      <c r="Q39" s="20">
        <f t="shared" si="32"/>
        <v>337016583173.0744</v>
      </c>
      <c r="R39" s="20"/>
      <c r="S39" s="6"/>
      <c r="T39" s="6"/>
      <c r="U39" s="23"/>
      <c r="AG39" s="6"/>
      <c r="AH39" s="6"/>
      <c r="AI39" s="6"/>
      <c r="AJ39" s="6"/>
      <c r="AK39" s="6"/>
    </row>
    <row r="40" spans="4:45" ht="15.75">
      <c r="D40" s="2">
        <f t="shared" si="24"/>
        <v>0.82006577292939287</v>
      </c>
      <c r="E40" s="2">
        <f t="shared" si="25"/>
        <v>-8.6151313866587725E-2</v>
      </c>
      <c r="F40" s="2">
        <f t="shared" si="26"/>
        <v>-2.5148498507150649</v>
      </c>
      <c r="G40" s="6">
        <f t="shared" si="27"/>
        <v>4.6566507920656865E-3</v>
      </c>
      <c r="H40" s="2">
        <f t="shared" si="33"/>
        <v>-0.18292352159490449</v>
      </c>
      <c r="I40" s="2">
        <f t="shared" si="28"/>
        <v>1.1614733247380169</v>
      </c>
      <c r="J40" s="4">
        <f t="shared" si="34"/>
        <v>0.47424772487721328</v>
      </c>
      <c r="K40" s="6">
        <f t="shared" si="29"/>
        <v>1.0663865167187876E-4</v>
      </c>
      <c r="L40" s="9">
        <f t="shared" si="35"/>
        <v>67823786331033.422</v>
      </c>
      <c r="M40" s="23">
        <f t="shared" si="30"/>
        <v>2961699940759728.5</v>
      </c>
      <c r="N40" s="2">
        <f t="shared" si="31"/>
        <v>12.5</v>
      </c>
      <c r="O40" s="12">
        <v>800</v>
      </c>
      <c r="P40" s="13"/>
      <c r="Q40" s="20">
        <f t="shared" si="32"/>
        <v>257802262503.67966</v>
      </c>
      <c r="R40" s="20"/>
      <c r="S40" s="6"/>
      <c r="T40" s="6"/>
      <c r="U40" s="23"/>
      <c r="V40" s="6"/>
      <c r="W40" s="6"/>
      <c r="AG40" s="6"/>
      <c r="AH40" s="6"/>
      <c r="AI40" s="6"/>
      <c r="AJ40" s="6"/>
      <c r="AK40" s="6"/>
    </row>
    <row r="41" spans="4:45" ht="15.75">
      <c r="D41" s="2">
        <f t="shared" si="24"/>
        <v>0.82935898880807635</v>
      </c>
      <c r="E41" s="2">
        <f t="shared" si="25"/>
        <v>-8.1257443983708474E-2</v>
      </c>
      <c r="F41" s="2">
        <f t="shared" si="26"/>
        <v>-2.6482595348341</v>
      </c>
      <c r="G41" s="6">
        <f t="shared" si="27"/>
        <v>3.4250268999255046E-3</v>
      </c>
      <c r="H41" s="2">
        <f t="shared" si="33"/>
        <v>-0.18292352159490449</v>
      </c>
      <c r="I41" s="2">
        <f t="shared" si="28"/>
        <v>1.1614733247380169</v>
      </c>
      <c r="J41" s="4">
        <f t="shared" si="34"/>
        <v>0.47424772487721328</v>
      </c>
      <c r="K41" s="6">
        <f t="shared" si="29"/>
        <v>9.4789912597225562E-5</v>
      </c>
      <c r="L41" s="9">
        <f t="shared" si="35"/>
        <v>71611384152110.969</v>
      </c>
      <c r="M41" s="23">
        <f t="shared" si="30"/>
        <v>2587521291469763</v>
      </c>
      <c r="N41" s="2">
        <f t="shared" si="31"/>
        <v>11.111111111111111</v>
      </c>
      <c r="O41" s="12">
        <v>900</v>
      </c>
      <c r="P41" s="13"/>
      <c r="Q41" s="20">
        <f t="shared" si="32"/>
        <v>202723306978.82523</v>
      </c>
      <c r="R41" s="20"/>
      <c r="S41" s="6"/>
      <c r="T41" s="6"/>
      <c r="U41" s="23"/>
      <c r="W41" s="6"/>
      <c r="AG41" s="6"/>
      <c r="AH41" s="6"/>
      <c r="AI41" s="6"/>
      <c r="AJ41" s="6"/>
      <c r="AK41" s="6"/>
    </row>
    <row r="42" spans="4:45" ht="15.75">
      <c r="D42" s="2">
        <f t="shared" si="24"/>
        <v>0.83708088462083496</v>
      </c>
      <c r="E42" s="2">
        <f t="shared" si="25"/>
        <v>-7.723257540303588E-2</v>
      </c>
      <c r="F42" s="2">
        <f t="shared" si="26"/>
        <v>-2.7690414251137021</v>
      </c>
      <c r="G42" s="6">
        <f t="shared" si="27"/>
        <v>2.5934751824126037E-3</v>
      </c>
      <c r="H42" s="2">
        <f t="shared" si="33"/>
        <v>-0.18292352159490449</v>
      </c>
      <c r="I42" s="2">
        <f t="shared" si="28"/>
        <v>1.1614733247380169</v>
      </c>
      <c r="J42" s="4">
        <f t="shared" si="34"/>
        <v>0.47424772487721328</v>
      </c>
      <c r="K42" s="6">
        <f t="shared" si="29"/>
        <v>8.5310921337503003E-5</v>
      </c>
      <c r="L42" s="9">
        <f t="shared" si="35"/>
        <v>75298240556451.203</v>
      </c>
      <c r="M42" s="23">
        <f t="shared" si="30"/>
        <v>2289086966836481</v>
      </c>
      <c r="N42" s="2">
        <f t="shared" si="31"/>
        <v>10</v>
      </c>
      <c r="O42" s="12">
        <v>1000</v>
      </c>
      <c r="P42" s="13"/>
      <c r="Q42" s="6">
        <f t="shared" si="32"/>
        <v>163045747284.67639</v>
      </c>
      <c r="R42" s="6"/>
      <c r="S42" s="6"/>
      <c r="T42" s="6"/>
      <c r="U42" s="23"/>
      <c r="AG42" s="6"/>
      <c r="AH42" s="6"/>
      <c r="AI42" s="6"/>
      <c r="AJ42" s="6"/>
      <c r="AK42" s="6"/>
    </row>
    <row r="43" spans="4:45" ht="15.75">
      <c r="D43" s="2">
        <f t="shared" si="24"/>
        <v>0.84361405534711742</v>
      </c>
      <c r="E43" s="2">
        <f t="shared" si="25"/>
        <v>-7.3856193146819002E-2</v>
      </c>
      <c r="F43" s="2">
        <f t="shared" si="26"/>
        <v>-2.879357289346546</v>
      </c>
      <c r="G43" s="6">
        <f t="shared" si="27"/>
        <v>2.0117139720273194E-3</v>
      </c>
      <c r="H43" s="2">
        <f t="shared" si="33"/>
        <v>-0.18292352159490449</v>
      </c>
      <c r="I43" s="2">
        <f t="shared" si="28"/>
        <v>1.1614733247380169</v>
      </c>
      <c r="J43" s="4">
        <f t="shared" si="34"/>
        <v>0.47424772487721328</v>
      </c>
      <c r="K43" s="6">
        <f t="shared" si="29"/>
        <v>7.7555383034093631E-5</v>
      </c>
      <c r="L43" s="9">
        <f t="shared" si="35"/>
        <v>78888524675193.109</v>
      </c>
      <c r="M43" s="23">
        <f t="shared" si="30"/>
        <v>2046294417138554</v>
      </c>
      <c r="N43" s="2">
        <f t="shared" si="31"/>
        <v>9.0909090909090917</v>
      </c>
      <c r="O43" s="12">
        <v>1100</v>
      </c>
      <c r="P43" s="13"/>
      <c r="Q43" s="6">
        <f t="shared" si="32"/>
        <v>133613725881.09671</v>
      </c>
      <c r="R43" s="6"/>
      <c r="S43" s="6"/>
      <c r="T43" s="6"/>
      <c r="U43" s="23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spans="4:45" ht="15.75">
      <c r="D44" s="2">
        <f t="shared" si="24"/>
        <v>0.84922536753675293</v>
      </c>
      <c r="E44" s="2">
        <f t="shared" si="25"/>
        <v>-7.0977041335191643E-2</v>
      </c>
      <c r="F44" s="2">
        <f t="shared" si="26"/>
        <v>-2.9808629878427246</v>
      </c>
      <c r="G44" s="6">
        <f t="shared" si="27"/>
        <v>1.5924306711234887E-3</v>
      </c>
      <c r="H44" s="2">
        <f t="shared" si="33"/>
        <v>-0.18292352159490449</v>
      </c>
      <c r="I44" s="2">
        <f t="shared" si="28"/>
        <v>1.1614733247380169</v>
      </c>
      <c r="J44" s="4">
        <f t="shared" si="34"/>
        <v>0.47424772487721328</v>
      </c>
      <c r="K44" s="6">
        <f t="shared" si="29"/>
        <v>7.1092434447919171E-5</v>
      </c>
      <c r="L44" s="9">
        <f t="shared" si="35"/>
        <v>82387769635664.406</v>
      </c>
      <c r="M44" s="23">
        <f t="shared" si="30"/>
        <v>1845439846196299.5</v>
      </c>
      <c r="N44" s="2">
        <f t="shared" si="31"/>
        <v>8.3333333333333339</v>
      </c>
      <c r="O44" s="12">
        <v>1200</v>
      </c>
      <c r="P44" s="13"/>
      <c r="Q44" s="6">
        <f t="shared" si="32"/>
        <v>111238520658.08656</v>
      </c>
      <c r="R44" s="6"/>
      <c r="S44" s="6"/>
      <c r="T44" s="6"/>
      <c r="U44" s="23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4:45" ht="15.75">
      <c r="D45" s="2">
        <f t="shared" si="24"/>
        <v>0.85410657878883323</v>
      </c>
      <c r="E45" s="2">
        <f t="shared" si="25"/>
        <v>-6.848793295051829E-2</v>
      </c>
      <c r="F45" s="2">
        <f t="shared" si="26"/>
        <v>-3.0748532438420044</v>
      </c>
      <c r="G45" s="6">
        <f t="shared" si="27"/>
        <v>1.2825381068303982E-3</v>
      </c>
      <c r="H45" s="2">
        <f t="shared" si="33"/>
        <v>-0.18292352159490449</v>
      </c>
      <c r="I45" s="2">
        <f t="shared" si="28"/>
        <v>1.1614733247380169</v>
      </c>
      <c r="J45" s="4">
        <f t="shared" si="34"/>
        <v>0.47424772487721328</v>
      </c>
      <c r="K45" s="6">
        <f t="shared" si="29"/>
        <v>6.5623785644233079E-5</v>
      </c>
      <c r="L45" s="9">
        <f t="shared" si="35"/>
        <v>85801817887422.609</v>
      </c>
      <c r="M45" s="23">
        <f t="shared" si="30"/>
        <v>1676893522609695.7</v>
      </c>
      <c r="N45" s="2">
        <f t="shared" si="31"/>
        <v>7.6923076923076925</v>
      </c>
      <c r="O45" s="12">
        <v>1300</v>
      </c>
      <c r="P45" s="13"/>
      <c r="Q45" s="6">
        <f t="shared" si="32"/>
        <v>93869000116.165985</v>
      </c>
      <c r="R45" s="6"/>
      <c r="S45" s="6"/>
      <c r="T45" s="6"/>
      <c r="U45" s="23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4:45" ht="15.75">
      <c r="D46" s="2">
        <f>10^E46</f>
        <v>0.86220931438388648</v>
      </c>
      <c r="E46" s="2">
        <f>LOG(J46)/(1+(F46/(I46-0.14*F46))^2)</f>
        <v>-6.438728980540348E-2</v>
      </c>
      <c r="F46" s="2">
        <f>LOG(G46)+H46</f>
        <v>-3.2442126319542872</v>
      </c>
      <c r="G46" s="6">
        <f>M46*K46/L46</f>
        <v>8.6838215378322423E-4</v>
      </c>
      <c r="H46" s="2">
        <f>-0.4-0.67*LOG(J46)</f>
        <v>-0.18292352159490449</v>
      </c>
      <c r="I46" s="2">
        <f>0.75-1.27*LOG(J46)</f>
        <v>1.1614733247380169</v>
      </c>
      <c r="J46" s="4">
        <f t="shared" si="34"/>
        <v>0.47424772487721328</v>
      </c>
      <c r="K46" s="6">
        <f>$P$34*101325/760/8.314/O46/1000000</f>
        <v>5.687394755833534E-5</v>
      </c>
      <c r="L46" s="9">
        <f t="shared" si="35"/>
        <v>92396720595423.437</v>
      </c>
      <c r="M46" s="23">
        <f>$B$7*O46^$B$8*EXP(-$B$9/1.987/O46)</f>
        <v>1410763041388383.7</v>
      </c>
      <c r="N46" s="2">
        <f>10000/O46</f>
        <v>6.666666666666667</v>
      </c>
      <c r="O46" s="12">
        <v>1500</v>
      </c>
      <c r="P46" s="13"/>
      <c r="Q46" s="6">
        <f>L46/(1+L46/M46/K46)*D46</f>
        <v>69119913685.883942</v>
      </c>
      <c r="R46" s="6"/>
      <c r="S46" s="6"/>
      <c r="T46" s="6"/>
      <c r="U46" s="23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4:45" ht="15.75">
      <c r="D47" s="2">
        <f>10^E47</f>
        <v>0.87148082096421775</v>
      </c>
      <c r="E47" s="2">
        <f>LOG(J47)/(1+(F47/(I47-0.14*F47))^2)</f>
        <v>-5.9742166145567446E-2</v>
      </c>
      <c r="F47" s="2">
        <f>LOG(G47)+H47</f>
        <v>-3.4621395744919266</v>
      </c>
      <c r="G47" s="6">
        <f>M47*K47/L47</f>
        <v>5.2575564830664994E-4</v>
      </c>
      <c r="H47" s="2">
        <f>-0.4-0.67*LOG(J47)</f>
        <v>-0.18292352159490449</v>
      </c>
      <c r="I47" s="2">
        <f>0.75-1.27*LOG(J47)</f>
        <v>1.1614733247380169</v>
      </c>
      <c r="J47" s="4">
        <f t="shared" si="34"/>
        <v>0.47424772487721328</v>
      </c>
      <c r="K47" s="6">
        <f>$P$34*101325/760/8.314/O47/1000000</f>
        <v>4.7394956298612781E-5</v>
      </c>
      <c r="L47" s="9">
        <f t="shared" si="35"/>
        <v>101779852540394.17</v>
      </c>
      <c r="M47" s="23">
        <f>$B$7*O47^$B$8*EXP(-$B$9/1.987/O47)</f>
        <v>1129051201562061.7</v>
      </c>
      <c r="N47" s="2">
        <f>10000/O47</f>
        <v>5.5555555555555554</v>
      </c>
      <c r="O47" s="12">
        <v>1800</v>
      </c>
      <c r="P47" s="13"/>
      <c r="Q47" s="6">
        <f>L47/(1+L47/M47/K47)*D47</f>
        <v>46609594595.682648</v>
      </c>
      <c r="R47" s="6"/>
      <c r="S47" s="6"/>
      <c r="T47" s="6"/>
      <c r="U47" s="23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4:45">
      <c r="D48" s="2" t="s">
        <v>4</v>
      </c>
      <c r="E48" s="2" t="s">
        <v>5</v>
      </c>
      <c r="F48" t="s">
        <v>6</v>
      </c>
      <c r="G48" s="6" t="s">
        <v>7</v>
      </c>
      <c r="H48" s="2" t="s">
        <v>8</v>
      </c>
      <c r="I48" t="s">
        <v>9</v>
      </c>
      <c r="J48" t="s">
        <v>10</v>
      </c>
      <c r="K48" s="6" t="s">
        <v>11</v>
      </c>
      <c r="L48" s="6" t="s">
        <v>12</v>
      </c>
      <c r="M48" s="6" t="s">
        <v>13</v>
      </c>
      <c r="N48" s="2" t="s">
        <v>14</v>
      </c>
      <c r="P48">
        <v>6080</v>
      </c>
      <c r="Q48" s="6" t="s">
        <v>16</v>
      </c>
      <c r="S48" s="6"/>
      <c r="T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4:45" ht="15.75">
      <c r="D49" s="2">
        <f t="shared" ref="D49:D59" si="36">10^E49</f>
        <v>0.70408537503331114</v>
      </c>
      <c r="E49" s="2">
        <f t="shared" ref="E49:E59" si="37">LOG(J49)/(1+(F49/(I49-0.14*F49))^2)</f>
        <v>-0.15237467657124404</v>
      </c>
      <c r="F49" s="2">
        <f t="shared" ref="F49:F59" si="38">LOG(G49)+H49</f>
        <v>-1.4477454567648056</v>
      </c>
      <c r="G49" s="6">
        <f t="shared" ref="G49:G59" si="39">M49*K49/L49</f>
        <v>5.4347311491612593E-2</v>
      </c>
      <c r="H49" s="2">
        <f>-0.4-0.67*LOG(J49)</f>
        <v>-0.18292352159490449</v>
      </c>
      <c r="I49" s="2">
        <f t="shared" ref="I49:I59" si="40">0.75-1.27*LOG(J49)</f>
        <v>1.1614733247380169</v>
      </c>
      <c r="J49" s="4">
        <f>(1-$B$10)*EXP(-O49/$B$11)+$B$10*EXP(-O49/$B$12)+EXP(-B$13/O49)</f>
        <v>0.47424772487721328</v>
      </c>
      <c r="K49" s="6">
        <f t="shared" ref="K49:K59" si="41">$P$48*101325/760/8.314/O49/1000000</f>
        <v>3.2499398604763052E-4</v>
      </c>
      <c r="L49" s="9">
        <f>B$4*O49^B$5*EXP(-B$6/1.987/O49)</f>
        <v>48271057302442.148</v>
      </c>
      <c r="M49" s="6">
        <f t="shared" ref="M49:M59" si="42">$B$7*O49^$B$8*EXP(-$B$9/1.987/O49)</f>
        <v>8072156100946505</v>
      </c>
      <c r="N49" s="2">
        <f t="shared" ref="N49:N59" si="43">10000/O49</f>
        <v>33.333333333333336</v>
      </c>
      <c r="O49" s="12">
        <v>300</v>
      </c>
      <c r="P49" s="13"/>
      <c r="Q49" s="6">
        <f t="shared" ref="Q49:Q58" si="44">L49/(1+L49/M49/K49)*D49</f>
        <v>1751888673435.9658</v>
      </c>
      <c r="R49" s="6"/>
      <c r="S49" s="6"/>
      <c r="T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4:45" ht="15.75">
      <c r="D50" s="2">
        <f t="shared" si="36"/>
        <v>0.74230446063224154</v>
      </c>
      <c r="E50" s="2">
        <f t="shared" si="37"/>
        <v>-0.12941792969095287</v>
      </c>
      <c r="F50" s="2">
        <f t="shared" si="38"/>
        <v>-1.7192951116872623</v>
      </c>
      <c r="G50" s="6">
        <f t="shared" si="39"/>
        <v>2.9082277218059345E-2</v>
      </c>
      <c r="H50" s="2">
        <f t="shared" ref="H50:H59" si="45">-0.4-0.67*LOG(J50)</f>
        <v>-0.18292352159490449</v>
      </c>
      <c r="I50" s="2">
        <f t="shared" si="40"/>
        <v>1.1614733247380169</v>
      </c>
      <c r="J50" s="4">
        <f t="shared" ref="J50:J61" si="46">(1-$B$10)*EXP(-O50/$B$11)+$B$10*EXP(-O50/$B$12)+EXP(-B$13/O50)</f>
        <v>0.47424772487721328</v>
      </c>
      <c r="K50" s="6">
        <f t="shared" si="41"/>
        <v>2.4374548953572288E-4</v>
      </c>
      <c r="L50" s="9">
        <f t="shared" ref="L50:L61" si="47">B$4*O50^B$5*EXP(-B$6/1.987/O50)</f>
        <v>51915144096005.555</v>
      </c>
      <c r="M50" s="6">
        <f t="shared" si="42"/>
        <v>6194209440721797</v>
      </c>
      <c r="N50" s="2">
        <f t="shared" si="43"/>
        <v>25</v>
      </c>
      <c r="O50" s="12">
        <v>400</v>
      </c>
      <c r="P50" s="13"/>
      <c r="Q50" s="6">
        <f t="shared" si="44"/>
        <v>1089066615096.7671</v>
      </c>
      <c r="R50" s="6"/>
      <c r="S50" s="6"/>
      <c r="T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4:45" ht="15.75">
      <c r="D51" s="37">
        <f t="shared" si="36"/>
        <v>0.76911260544337334</v>
      </c>
      <c r="E51" s="37">
        <f t="shared" si="37"/>
        <v>-0.11401007067644477</v>
      </c>
      <c r="F51" s="37">
        <f t="shared" si="38"/>
        <v>-1.9460124769471234</v>
      </c>
      <c r="G51" s="20">
        <f t="shared" si="39"/>
        <v>1.7254844295304536E-2</v>
      </c>
      <c r="H51" s="37">
        <f t="shared" si="45"/>
        <v>-0.18292352159490449</v>
      </c>
      <c r="I51" s="37">
        <f t="shared" si="40"/>
        <v>1.1614733247380169</v>
      </c>
      <c r="J51" s="20">
        <f t="shared" si="46"/>
        <v>0.47424772487721328</v>
      </c>
      <c r="K51" s="20">
        <f t="shared" si="41"/>
        <v>1.949963916285783E-4</v>
      </c>
      <c r="L51" s="38">
        <f t="shared" si="47"/>
        <v>55914419404048.281</v>
      </c>
      <c r="M51" s="20">
        <f t="shared" si="42"/>
        <v>4947756174467637</v>
      </c>
      <c r="N51" s="37">
        <f t="shared" si="43"/>
        <v>20</v>
      </c>
      <c r="O51" s="39">
        <v>500</v>
      </c>
      <c r="P51" s="40"/>
      <c r="Q51" s="20">
        <f t="shared" si="44"/>
        <v>729449157413.57227</v>
      </c>
      <c r="R51" s="20">
        <f>0.0000000000012*6.02E+23</f>
        <v>722400000000</v>
      </c>
      <c r="S51" s="20">
        <f>(R51-Q51)^2/Q51^2</f>
        <v>9.3386556938273457E-5</v>
      </c>
      <c r="T51" s="20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4:45" ht="15.75">
      <c r="D52" s="2">
        <f t="shared" si="36"/>
        <v>0.78879641859573413</v>
      </c>
      <c r="E52" s="2">
        <f t="shared" si="37"/>
        <v>-0.10303506990716098</v>
      </c>
      <c r="F52" s="2">
        <f t="shared" si="38"/>
        <v>-2.1395179002502949</v>
      </c>
      <c r="G52" s="6">
        <f t="shared" si="39"/>
        <v>1.1051102863713231E-2</v>
      </c>
      <c r="H52" s="2">
        <f t="shared" si="45"/>
        <v>-0.18292352159490449</v>
      </c>
      <c r="I52" s="2">
        <f t="shared" si="40"/>
        <v>1.1614733247380169</v>
      </c>
      <c r="J52" s="4">
        <f t="shared" si="46"/>
        <v>0.47424772487721328</v>
      </c>
      <c r="K52" s="6">
        <f t="shared" si="41"/>
        <v>1.6249699302381526E-4</v>
      </c>
      <c r="L52" s="9">
        <f t="shared" si="47"/>
        <v>59954213423504.078</v>
      </c>
      <c r="M52" s="6">
        <f t="shared" si="42"/>
        <v>4077368862813705</v>
      </c>
      <c r="N52" s="2">
        <f t="shared" si="43"/>
        <v>16.666666666666668</v>
      </c>
      <c r="O52" s="12">
        <v>600</v>
      </c>
      <c r="P52" s="13"/>
      <c r="Q52" s="6">
        <f t="shared" si="44"/>
        <v>516912642038.20734</v>
      </c>
      <c r="R52" s="6"/>
      <c r="S52" s="6"/>
      <c r="T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4:45" ht="15.75">
      <c r="D53" s="2">
        <f t="shared" si="36"/>
        <v>0.80385047115664576</v>
      </c>
      <c r="E53" s="2">
        <f t="shared" si="37"/>
        <v>-9.4824729349893444E-2</v>
      </c>
      <c r="F53" s="2">
        <f t="shared" si="38"/>
        <v>-2.3079306414698721</v>
      </c>
      <c r="G53" s="6">
        <f t="shared" si="39"/>
        <v>7.4988191557910002E-3</v>
      </c>
      <c r="H53" s="2">
        <f t="shared" si="45"/>
        <v>-0.18292352159490449</v>
      </c>
      <c r="I53" s="2">
        <f t="shared" si="40"/>
        <v>1.1614733247380169</v>
      </c>
      <c r="J53" s="4">
        <f t="shared" si="46"/>
        <v>0.47424772487721328</v>
      </c>
      <c r="K53" s="6">
        <f t="shared" si="41"/>
        <v>1.3928313687755592E-4</v>
      </c>
      <c r="L53" s="9">
        <f t="shared" si="47"/>
        <v>63935043186733.742</v>
      </c>
      <c r="M53" s="6">
        <f t="shared" si="42"/>
        <v>3442177835185304</v>
      </c>
      <c r="N53" s="2">
        <f t="shared" si="43"/>
        <v>14.285714285714286</v>
      </c>
      <c r="O53" s="12">
        <v>700</v>
      </c>
      <c r="P53" s="13"/>
      <c r="Q53" s="6">
        <f t="shared" si="44"/>
        <v>382527416935.66699</v>
      </c>
      <c r="R53" s="6"/>
      <c r="S53" s="6"/>
      <c r="T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4:45" ht="15.75">
      <c r="D54" s="2">
        <f t="shared" si="36"/>
        <v>0.81575376835787461</v>
      </c>
      <c r="E54" s="2">
        <f t="shared" si="37"/>
        <v>-8.8440911320963128E-2</v>
      </c>
      <c r="F54" s="2">
        <f t="shared" si="38"/>
        <v>-2.4568579037373781</v>
      </c>
      <c r="G54" s="6">
        <f t="shared" si="39"/>
        <v>5.3218866195036416E-3</v>
      </c>
      <c r="H54" s="2">
        <f t="shared" si="45"/>
        <v>-0.18292352159490449</v>
      </c>
      <c r="I54" s="2">
        <f t="shared" si="40"/>
        <v>1.1614733247380169</v>
      </c>
      <c r="J54" s="4">
        <f t="shared" si="46"/>
        <v>0.47424772487721328</v>
      </c>
      <c r="K54" s="6">
        <f t="shared" si="41"/>
        <v>1.2187274476786144E-4</v>
      </c>
      <c r="L54" s="9">
        <f t="shared" si="47"/>
        <v>67823786331033.422</v>
      </c>
      <c r="M54" s="6">
        <f t="shared" si="42"/>
        <v>2961699940759728.5</v>
      </c>
      <c r="N54" s="2">
        <f t="shared" si="43"/>
        <v>12.5</v>
      </c>
      <c r="O54" s="12">
        <v>800</v>
      </c>
      <c r="P54" s="13"/>
      <c r="Q54" s="20">
        <f t="shared" si="44"/>
        <v>292888014542.5238</v>
      </c>
      <c r="R54" s="20"/>
      <c r="S54" s="6"/>
      <c r="T54" s="6"/>
    </row>
    <row r="55" spans="4:45" ht="15.75">
      <c r="D55" s="2">
        <f t="shared" si="36"/>
        <v>0.82542273630536023</v>
      </c>
      <c r="E55" s="2">
        <f t="shared" si="37"/>
        <v>-8.3323572633351717E-2</v>
      </c>
      <c r="F55" s="2">
        <f t="shared" si="38"/>
        <v>-2.5902675878564132</v>
      </c>
      <c r="G55" s="6">
        <f t="shared" si="39"/>
        <v>3.9143164570577199E-3</v>
      </c>
      <c r="H55" s="2">
        <f t="shared" si="45"/>
        <v>-0.18292352159490449</v>
      </c>
      <c r="I55" s="2">
        <f t="shared" si="40"/>
        <v>1.1614733247380169</v>
      </c>
      <c r="J55" s="4">
        <f t="shared" si="46"/>
        <v>0.47424772487721328</v>
      </c>
      <c r="K55" s="6">
        <f t="shared" si="41"/>
        <v>1.0833132868254351E-4</v>
      </c>
      <c r="L55" s="9">
        <f t="shared" si="47"/>
        <v>71611384152110.969</v>
      </c>
      <c r="M55" s="6">
        <f t="shared" si="42"/>
        <v>2587521291469763</v>
      </c>
      <c r="N55" s="2">
        <f t="shared" si="43"/>
        <v>11.111111111111111</v>
      </c>
      <c r="O55" s="12">
        <v>900</v>
      </c>
      <c r="P55" s="13"/>
      <c r="Q55" s="20">
        <f t="shared" si="44"/>
        <v>230471793605.22208</v>
      </c>
      <c r="R55" s="20"/>
      <c r="S55" s="6"/>
      <c r="T55" s="6"/>
    </row>
    <row r="56" spans="4:45" ht="15.75">
      <c r="D56" s="2">
        <f t="shared" si="36"/>
        <v>0.83345098840627774</v>
      </c>
      <c r="E56" s="2">
        <f t="shared" si="37"/>
        <v>-7.911993403698718E-2</v>
      </c>
      <c r="F56" s="2">
        <f t="shared" si="38"/>
        <v>-2.7110494781360153</v>
      </c>
      <c r="G56" s="6">
        <f t="shared" si="39"/>
        <v>2.9639716370429754E-3</v>
      </c>
      <c r="H56" s="2">
        <f t="shared" si="45"/>
        <v>-0.18292352159490449</v>
      </c>
      <c r="I56" s="2">
        <f t="shared" si="40"/>
        <v>1.1614733247380169</v>
      </c>
      <c r="J56" s="4">
        <f t="shared" si="46"/>
        <v>0.47424772487721328</v>
      </c>
      <c r="K56" s="6">
        <f t="shared" si="41"/>
        <v>9.7498195814289148E-5</v>
      </c>
      <c r="L56" s="9">
        <f t="shared" si="47"/>
        <v>75298240556451.203</v>
      </c>
      <c r="M56" s="6">
        <f t="shared" si="42"/>
        <v>2289086966836481</v>
      </c>
      <c r="N56" s="2">
        <f t="shared" si="43"/>
        <v>10</v>
      </c>
      <c r="O56" s="12">
        <v>1000</v>
      </c>
      <c r="P56" s="13"/>
      <c r="Q56" s="6">
        <f t="shared" si="44"/>
        <v>185461430497.4697</v>
      </c>
      <c r="R56" s="6"/>
    </row>
    <row r="57" spans="4:45" ht="15.75">
      <c r="D57" s="2">
        <f t="shared" si="36"/>
        <v>0.84023858076943714</v>
      </c>
      <c r="E57" s="2">
        <f t="shared" si="37"/>
        <v>-7.5597381081062162E-2</v>
      </c>
      <c r="F57" s="2">
        <f t="shared" si="38"/>
        <v>-2.8213653423688592</v>
      </c>
      <c r="G57" s="6">
        <f t="shared" si="39"/>
        <v>2.2991016823169369E-3</v>
      </c>
      <c r="H57" s="2">
        <f t="shared" si="45"/>
        <v>-0.18292352159490449</v>
      </c>
      <c r="I57" s="2">
        <f t="shared" si="40"/>
        <v>1.1614733247380169</v>
      </c>
      <c r="J57" s="4">
        <f t="shared" si="46"/>
        <v>0.47424772487721328</v>
      </c>
      <c r="K57" s="6">
        <f t="shared" si="41"/>
        <v>8.86347234675356E-5</v>
      </c>
      <c r="L57" s="9">
        <f t="shared" si="47"/>
        <v>78888524675193.109</v>
      </c>
      <c r="M57" s="6">
        <f t="shared" si="42"/>
        <v>2046294417138554</v>
      </c>
      <c r="N57" s="2">
        <f t="shared" si="43"/>
        <v>9.0909090909090917</v>
      </c>
      <c r="O57" s="12">
        <v>1100</v>
      </c>
      <c r="P57" s="13"/>
      <c r="Q57" s="6">
        <f t="shared" si="44"/>
        <v>152046802417.42633</v>
      </c>
      <c r="R57" s="6"/>
    </row>
    <row r="58" spans="4:45" ht="15.75">
      <c r="D58" s="2">
        <f t="shared" si="36"/>
        <v>0.8460645377278021</v>
      </c>
      <c r="E58" s="2">
        <f t="shared" si="37"/>
        <v>-7.2596507752902315E-2</v>
      </c>
      <c r="F58" s="2">
        <f t="shared" si="38"/>
        <v>-2.9228710408650382</v>
      </c>
      <c r="G58" s="6">
        <f t="shared" si="39"/>
        <v>1.8199207669982729E-3</v>
      </c>
      <c r="H58" s="2">
        <f t="shared" si="45"/>
        <v>-0.18292352159490449</v>
      </c>
      <c r="I58" s="2">
        <f t="shared" si="40"/>
        <v>1.1614733247380169</v>
      </c>
      <c r="J58" s="4">
        <f t="shared" si="46"/>
        <v>0.47424772487721328</v>
      </c>
      <c r="K58" s="6">
        <f t="shared" si="41"/>
        <v>8.124849651190763E-5</v>
      </c>
      <c r="L58" s="9">
        <f t="shared" si="47"/>
        <v>82387769635664.406</v>
      </c>
      <c r="M58" s="6">
        <f t="shared" si="42"/>
        <v>1845439846196299.5</v>
      </c>
      <c r="N58" s="2">
        <f t="shared" si="43"/>
        <v>8.3333333333333339</v>
      </c>
      <c r="O58" s="12">
        <v>1200</v>
      </c>
      <c r="P58" s="13"/>
      <c r="Q58" s="6">
        <f t="shared" si="44"/>
        <v>126627798295.30916</v>
      </c>
      <c r="R58" s="6"/>
    </row>
    <row r="59" spans="4:45" ht="15.75">
      <c r="D59" s="2">
        <f t="shared" si="36"/>
        <v>0.85112930277605481</v>
      </c>
      <c r="E59" s="2">
        <f t="shared" si="37"/>
        <v>-7.0004457287474453E-2</v>
      </c>
      <c r="F59" s="2">
        <f t="shared" si="38"/>
        <v>-3.0168612968643176</v>
      </c>
      <c r="G59" s="6">
        <f t="shared" si="39"/>
        <v>1.4657578363775981E-3</v>
      </c>
      <c r="H59" s="2">
        <f t="shared" si="45"/>
        <v>-0.18292352159490449</v>
      </c>
      <c r="I59" s="2">
        <f t="shared" si="40"/>
        <v>1.1614733247380169</v>
      </c>
      <c r="J59" s="4">
        <f t="shared" si="46"/>
        <v>0.47424772487721328</v>
      </c>
      <c r="K59" s="6">
        <f t="shared" si="41"/>
        <v>7.4998612164837812E-5</v>
      </c>
      <c r="L59" s="9">
        <f t="shared" si="47"/>
        <v>85801817887422.609</v>
      </c>
      <c r="M59" s="6">
        <f t="shared" si="42"/>
        <v>1676893522609695.7</v>
      </c>
      <c r="N59" s="2">
        <f t="shared" si="43"/>
        <v>7.6923076923076925</v>
      </c>
      <c r="O59" s="12">
        <v>1300</v>
      </c>
      <c r="P59" s="13"/>
      <c r="Q59" s="6">
        <f>L59/(1+L59/M59/K59)*D59</f>
        <v>106885342284.39148</v>
      </c>
      <c r="R59" s="6"/>
    </row>
    <row r="60" spans="4:45" ht="15.75">
      <c r="D60" s="2">
        <f>10^E60</f>
        <v>0.85952967195308494</v>
      </c>
      <c r="E60" s="2">
        <f>LOG(J60)/(1+(F60/(I60-0.14*F60))^2)</f>
        <v>-6.5739126373015502E-2</v>
      </c>
      <c r="F60" s="2">
        <f>LOG(G60)+H60</f>
        <v>-3.1862206849766004</v>
      </c>
      <c r="G60" s="6">
        <f>M60*K60/L60</f>
        <v>9.9243674718082781E-4</v>
      </c>
      <c r="H60" s="2">
        <f>-0.4-0.67*LOG(J60)</f>
        <v>-0.18292352159490449</v>
      </c>
      <c r="I60" s="2">
        <f>0.75-1.27*LOG(J60)</f>
        <v>1.1614733247380169</v>
      </c>
      <c r="J60" s="4">
        <f t="shared" si="46"/>
        <v>0.47424772487721328</v>
      </c>
      <c r="K60" s="6">
        <f>$P$48*101325/760/8.314/O60/1000000</f>
        <v>6.4998797209526099E-5</v>
      </c>
      <c r="L60" s="9">
        <f t="shared" si="47"/>
        <v>92396720595423.437</v>
      </c>
      <c r="M60" s="6">
        <f>$B$7*O60^$B$8*EXP(-$B$9/1.987/O60)</f>
        <v>1410763041388383.7</v>
      </c>
      <c r="N60" s="2">
        <f>10000/O60</f>
        <v>6.666666666666667</v>
      </c>
      <c r="O60" s="12">
        <v>1500</v>
      </c>
      <c r="P60" s="13"/>
      <c r="Q60" s="6">
        <f>L60/(1+L60/M60/K60)*D60</f>
        <v>78738923225.142746</v>
      </c>
      <c r="R60" s="6"/>
    </row>
    <row r="61" spans="4:45" ht="15.75">
      <c r="D61" s="2">
        <f>10^E61</f>
        <v>0.86912987693574828</v>
      </c>
      <c r="E61" s="2">
        <f>LOG(J61)/(1+(F61/(I61-0.14*F61))^2)</f>
        <v>-6.0915320649225474E-2</v>
      </c>
      <c r="F61" s="2">
        <f>LOG(G61)+H61</f>
        <v>-3.4041476275142397</v>
      </c>
      <c r="G61" s="6">
        <f>M61*K61/L61</f>
        <v>6.0086359806474279E-4</v>
      </c>
      <c r="H61" s="2">
        <f>-0.4-0.67*LOG(J61)</f>
        <v>-0.18292352159490449</v>
      </c>
      <c r="I61" s="2">
        <f>0.75-1.27*LOG(J61)</f>
        <v>1.1614733247380169</v>
      </c>
      <c r="J61" s="4">
        <f t="shared" si="46"/>
        <v>0.47424772487721328</v>
      </c>
      <c r="K61" s="6">
        <f>$P$48*101325/760/8.314/O61/1000000</f>
        <v>5.4165664341271753E-5</v>
      </c>
      <c r="L61" s="9">
        <f t="shared" si="47"/>
        <v>101779852540394.17</v>
      </c>
      <c r="M61" s="6">
        <f>$B$7*O61^$B$8*EXP(-$B$9/1.987/O61)</f>
        <v>1129051201562061.7</v>
      </c>
      <c r="N61" s="2">
        <f>10000/O61</f>
        <v>5.5555555555555554</v>
      </c>
      <c r="O61" s="12">
        <v>1800</v>
      </c>
      <c r="P61" s="13"/>
      <c r="Q61" s="6">
        <f>L61/(1+L61/M61/K61)*D61</f>
        <v>53120422107.523636</v>
      </c>
      <c r="R61" s="6"/>
    </row>
    <row r="62" spans="4:45">
      <c r="D62" s="2" t="s">
        <v>4</v>
      </c>
      <c r="E62" s="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P62">
        <f>760*8.7</f>
        <v>6611.9999999999991</v>
      </c>
      <c r="Q62" t="s">
        <v>16</v>
      </c>
    </row>
    <row r="63" spans="4:45" ht="15.75">
      <c r="D63" s="37">
        <f t="shared" ref="D63:D73" si="48">10^E63</f>
        <v>0.69841263645883878</v>
      </c>
      <c r="E63" s="37">
        <f t="shared" ref="E63:E73" si="49">LOG(J63)/(1+(F63/(I63-0.14*F63))^2)</f>
        <v>-0.15588791149221007</v>
      </c>
      <c r="F63" s="37">
        <f t="shared" ref="F63:F73" si="50">LOG(G63)+H63</f>
        <v>-1.4113161911381307</v>
      </c>
      <c r="G63" s="20">
        <f t="shared" ref="G63:G73" si="51">M63*K63/L63</f>
        <v>5.9102701247128679E-2</v>
      </c>
      <c r="H63" s="37">
        <f>-0.4-0.67*LOG(J63)</f>
        <v>-0.18292352159490449</v>
      </c>
      <c r="I63" s="37">
        <f t="shared" ref="I63:I73" si="52">0.75-1.27*LOG(J63)</f>
        <v>1.1614733247380169</v>
      </c>
      <c r="J63" s="20">
        <f>(1-$B$10)*EXP(-O63/$B$11)+$B$10*EXP(-O63/$B$12)+EXP(-B$13/O63)</f>
        <v>0.47424772487721328</v>
      </c>
      <c r="K63" s="20">
        <f t="shared" ref="K63:K73" si="53">$P$62*101325/760/8.314/O63/1000000</f>
        <v>3.5343095982679813E-4</v>
      </c>
      <c r="L63" s="38">
        <f>B$4*O63^B$5*EXP(-B$6/1.987/O63)</f>
        <v>48271057302442.148</v>
      </c>
      <c r="M63" s="20">
        <f t="shared" ref="M63:M73" si="54">$B$7*O63^$B$8*EXP(-$B$9/1.987/O63)</f>
        <v>8072156100946505</v>
      </c>
      <c r="N63" s="37">
        <f t="shared" ref="N63:N73" si="55">10000/O63</f>
        <v>33.333333333333336</v>
      </c>
      <c r="O63" s="39">
        <v>300</v>
      </c>
      <c r="P63" s="40"/>
      <c r="Q63" s="20">
        <f t="shared" ref="Q63:Q73" si="56">L63/(1+L63/M63/K63)*D63</f>
        <v>1881343748884.894</v>
      </c>
      <c r="R63" s="20">
        <f>0.0000000000025*6.02E+23</f>
        <v>1505000000000</v>
      </c>
      <c r="S63" s="20">
        <f>(R63-Q63)^2/Q63^2</f>
        <v>4.0015947448730188E-2</v>
      </c>
      <c r="T63" s="20"/>
    </row>
    <row r="64" spans="4:45" ht="15.75">
      <c r="D64" s="2">
        <f t="shared" si="48"/>
        <v>0.7375811965051885</v>
      </c>
      <c r="E64" s="2">
        <f t="shared" si="49"/>
        <v>-0.13219016348117502</v>
      </c>
      <c r="F64" s="2">
        <f t="shared" si="50"/>
        <v>-1.6828658460605874</v>
      </c>
      <c r="G64" s="6">
        <f t="shared" si="51"/>
        <v>3.1626976474639537E-2</v>
      </c>
      <c r="H64" s="2">
        <f t="shared" ref="H64:H73" si="57">-0.4-0.67*LOG(J64)</f>
        <v>-0.18292352159490449</v>
      </c>
      <c r="I64" s="2">
        <f t="shared" si="52"/>
        <v>1.1614733247380169</v>
      </c>
      <c r="J64" s="4">
        <f t="shared" ref="J64:J75" si="58">(1-$B$10)*EXP(-O64/$B$11)+$B$10*EXP(-O64/$B$12)+EXP(-B$13/O64)</f>
        <v>0.47424772487721328</v>
      </c>
      <c r="K64" s="6">
        <f t="shared" si="53"/>
        <v>2.6507321987009858E-4</v>
      </c>
      <c r="L64" s="9">
        <f t="shared" ref="L64:L75" si="59">B$4*O64^B$5*EXP(-B$6/1.987/O64)</f>
        <v>51915144096005.555</v>
      </c>
      <c r="M64" s="6">
        <f t="shared" si="54"/>
        <v>6194209440721797</v>
      </c>
      <c r="N64" s="2">
        <f t="shared" si="55"/>
        <v>25</v>
      </c>
      <c r="O64" s="12">
        <v>400</v>
      </c>
      <c r="P64" s="13"/>
      <c r="Q64" s="6">
        <f t="shared" si="56"/>
        <v>1173921037781.8152</v>
      </c>
      <c r="R64" s="6"/>
    </row>
    <row r="65" spans="4:20" ht="15.75">
      <c r="D65" s="2">
        <f t="shared" si="48"/>
        <v>0.76509194480826814</v>
      </c>
      <c r="E65" s="2">
        <f t="shared" si="49"/>
        <v>-0.11628637043668817</v>
      </c>
      <c r="F65" s="2">
        <f t="shared" si="50"/>
        <v>-1.9095832113204487</v>
      </c>
      <c r="G65" s="6">
        <f t="shared" si="51"/>
        <v>1.876464317114368E-2</v>
      </c>
      <c r="H65" s="2">
        <f t="shared" si="57"/>
        <v>-0.18292352159490449</v>
      </c>
      <c r="I65" s="2">
        <f t="shared" si="52"/>
        <v>1.1614733247380169</v>
      </c>
      <c r="J65" s="4">
        <f t="shared" si="58"/>
        <v>0.47424772487721328</v>
      </c>
      <c r="K65" s="6">
        <f t="shared" si="53"/>
        <v>2.1205857589607887E-4</v>
      </c>
      <c r="L65" s="9">
        <f t="shared" si="59"/>
        <v>55914419404048.281</v>
      </c>
      <c r="M65" s="6">
        <f t="shared" si="54"/>
        <v>4947756174467637</v>
      </c>
      <c r="N65" s="2">
        <f t="shared" si="55"/>
        <v>20</v>
      </c>
      <c r="O65" s="12">
        <v>500</v>
      </c>
      <c r="P65" s="13"/>
      <c r="Q65" s="6">
        <f t="shared" si="56"/>
        <v>787959499061.2146</v>
      </c>
      <c r="R65" s="6"/>
    </row>
    <row r="66" spans="4:20" ht="15.75">
      <c r="D66" s="2">
        <f t="shared" si="48"/>
        <v>0.78529598143160528</v>
      </c>
      <c r="E66" s="2">
        <f t="shared" si="49"/>
        <v>-0.10496662494236016</v>
      </c>
      <c r="F66" s="2">
        <f t="shared" si="50"/>
        <v>-2.1030886346236199</v>
      </c>
      <c r="G66" s="6">
        <f t="shared" si="51"/>
        <v>1.2018074364288138E-2</v>
      </c>
      <c r="H66" s="2">
        <f t="shared" si="57"/>
        <v>-0.18292352159490449</v>
      </c>
      <c r="I66" s="2">
        <f t="shared" si="52"/>
        <v>1.1614733247380169</v>
      </c>
      <c r="J66" s="4">
        <f t="shared" si="58"/>
        <v>0.47424772487721328</v>
      </c>
      <c r="K66" s="6">
        <f t="shared" si="53"/>
        <v>1.7671547991339906E-4</v>
      </c>
      <c r="L66" s="9">
        <f t="shared" si="59"/>
        <v>59954213423504.078</v>
      </c>
      <c r="M66" s="6">
        <f t="shared" si="54"/>
        <v>4077368862813705</v>
      </c>
      <c r="N66" s="2">
        <f t="shared" si="55"/>
        <v>16.666666666666668</v>
      </c>
      <c r="O66" s="12">
        <v>600</v>
      </c>
      <c r="P66" s="13"/>
      <c r="Q66" s="6">
        <f t="shared" si="56"/>
        <v>559113144761.09619</v>
      </c>
      <c r="R66" s="6"/>
    </row>
    <row r="67" spans="4:20" ht="15.75">
      <c r="D67" s="2">
        <f t="shared" si="48"/>
        <v>0.80074460851749707</v>
      </c>
      <c r="E67" s="2">
        <f t="shared" si="49"/>
        <v>-9.6505976796495335E-2</v>
      </c>
      <c r="F67" s="2">
        <f t="shared" si="50"/>
        <v>-2.2715013758431972</v>
      </c>
      <c r="G67" s="6">
        <f t="shared" si="51"/>
        <v>8.1549658319227114E-3</v>
      </c>
      <c r="H67" s="2">
        <f t="shared" si="57"/>
        <v>-0.18292352159490449</v>
      </c>
      <c r="I67" s="2">
        <f t="shared" si="52"/>
        <v>1.1614733247380169</v>
      </c>
      <c r="J67" s="4">
        <f t="shared" si="58"/>
        <v>0.47424772487721328</v>
      </c>
      <c r="K67" s="6">
        <f t="shared" si="53"/>
        <v>1.5147041135434204E-4</v>
      </c>
      <c r="L67" s="9">
        <f t="shared" si="59"/>
        <v>63935043186733.742</v>
      </c>
      <c r="M67" s="6">
        <f t="shared" si="54"/>
        <v>3442177835185304</v>
      </c>
      <c r="N67" s="2">
        <f t="shared" si="55"/>
        <v>14.285714285714286</v>
      </c>
      <c r="O67" s="12">
        <v>700</v>
      </c>
      <c r="P67" s="13"/>
      <c r="Q67" s="6">
        <f t="shared" si="56"/>
        <v>414121556987.4668</v>
      </c>
      <c r="R67" s="6"/>
    </row>
    <row r="68" spans="4:20" ht="15.75">
      <c r="D68" s="2">
        <f t="shared" si="48"/>
        <v>0.81295527782137356</v>
      </c>
      <c r="E68" s="2">
        <f t="shared" si="49"/>
        <v>-8.9933345094274808E-2</v>
      </c>
      <c r="F68" s="2">
        <f t="shared" si="50"/>
        <v>-2.4204286381107032</v>
      </c>
      <c r="G68" s="6">
        <f t="shared" si="51"/>
        <v>5.7875516987102088E-3</v>
      </c>
      <c r="H68" s="2">
        <f t="shared" si="57"/>
        <v>-0.18292352159490449</v>
      </c>
      <c r="I68" s="2">
        <f t="shared" si="52"/>
        <v>1.1614733247380169</v>
      </c>
      <c r="J68" s="4">
        <f t="shared" si="58"/>
        <v>0.47424772487721328</v>
      </c>
      <c r="K68" s="6">
        <f t="shared" si="53"/>
        <v>1.3253660993504929E-4</v>
      </c>
      <c r="L68" s="9">
        <f t="shared" si="59"/>
        <v>67823786331033.422</v>
      </c>
      <c r="M68" s="6">
        <f t="shared" si="54"/>
        <v>2961699940759728.5</v>
      </c>
      <c r="N68" s="2">
        <f t="shared" si="55"/>
        <v>12.5</v>
      </c>
      <c r="O68" s="12">
        <v>800</v>
      </c>
      <c r="P68" s="13"/>
      <c r="Q68" s="6">
        <f t="shared" si="56"/>
        <v>317276066940.73492</v>
      </c>
      <c r="R68" s="6"/>
    </row>
    <row r="69" spans="4:20" ht="15.75">
      <c r="D69" s="2">
        <f t="shared" si="48"/>
        <v>0.8228696071440319</v>
      </c>
      <c r="E69" s="2">
        <f t="shared" si="49"/>
        <v>-8.4668978134424477E-2</v>
      </c>
      <c r="F69" s="2">
        <f t="shared" si="50"/>
        <v>-2.5538383222297383</v>
      </c>
      <c r="G69" s="6">
        <f t="shared" si="51"/>
        <v>4.2568191470502698E-3</v>
      </c>
      <c r="H69" s="2">
        <f t="shared" si="57"/>
        <v>-0.18292352159490449</v>
      </c>
      <c r="I69" s="2">
        <f t="shared" si="52"/>
        <v>1.1614733247380169</v>
      </c>
      <c r="J69" s="4">
        <f t="shared" si="58"/>
        <v>0.47424772487721328</v>
      </c>
      <c r="K69" s="6">
        <f t="shared" si="53"/>
        <v>1.1781031994226604E-4</v>
      </c>
      <c r="L69" s="9">
        <f t="shared" si="59"/>
        <v>71611384152110.969</v>
      </c>
      <c r="M69" s="6">
        <f t="shared" si="54"/>
        <v>2587521291469763</v>
      </c>
      <c r="N69" s="2">
        <f t="shared" si="55"/>
        <v>11.111111111111111</v>
      </c>
      <c r="O69" s="12">
        <v>900</v>
      </c>
      <c r="P69" s="13"/>
      <c r="Q69" s="6">
        <f t="shared" si="56"/>
        <v>249777606694.05093</v>
      </c>
      <c r="R69" s="6"/>
    </row>
    <row r="70" spans="4:20" ht="15.75">
      <c r="D70" s="2">
        <f t="shared" si="48"/>
        <v>0.83109792550842254</v>
      </c>
      <c r="E70" s="2">
        <f t="shared" si="49"/>
        <v>-8.0347801724492282E-2</v>
      </c>
      <c r="F70" s="2">
        <f t="shared" si="50"/>
        <v>-2.6746202125093403</v>
      </c>
      <c r="G70" s="6">
        <f t="shared" si="51"/>
        <v>3.2233191552842352E-3</v>
      </c>
      <c r="H70" s="2">
        <f t="shared" si="57"/>
        <v>-0.18292352159490449</v>
      </c>
      <c r="I70" s="2">
        <f t="shared" si="52"/>
        <v>1.1614733247380169</v>
      </c>
      <c r="J70" s="4">
        <f t="shared" si="58"/>
        <v>0.47424772487721328</v>
      </c>
      <c r="K70" s="6">
        <f t="shared" si="53"/>
        <v>1.0602928794803943E-4</v>
      </c>
      <c r="L70" s="9">
        <f t="shared" si="59"/>
        <v>75298240556451.203</v>
      </c>
      <c r="M70" s="6">
        <f t="shared" si="54"/>
        <v>2289086966836481</v>
      </c>
      <c r="N70" s="2">
        <f t="shared" si="55"/>
        <v>10</v>
      </c>
      <c r="O70" s="12">
        <v>1000</v>
      </c>
      <c r="P70" s="13"/>
      <c r="Q70" s="6">
        <f t="shared" si="56"/>
        <v>201067888560.34946</v>
      </c>
      <c r="R70" s="6"/>
    </row>
    <row r="71" spans="4:20" ht="15.75">
      <c r="D71" s="2">
        <f t="shared" si="48"/>
        <v>0.83805165239456836</v>
      </c>
      <c r="E71" s="2">
        <f t="shared" si="49"/>
        <v>-7.6729213280669437E-2</v>
      </c>
      <c r="F71" s="2">
        <f t="shared" si="50"/>
        <v>-2.7849360767421842</v>
      </c>
      <c r="G71" s="6">
        <f t="shared" si="51"/>
        <v>2.5002730795196681E-3</v>
      </c>
      <c r="H71" s="2">
        <f t="shared" si="57"/>
        <v>-0.18292352159490449</v>
      </c>
      <c r="I71" s="2">
        <f t="shared" si="52"/>
        <v>1.1614733247380169</v>
      </c>
      <c r="J71" s="4">
        <f t="shared" si="58"/>
        <v>0.47424772487721328</v>
      </c>
      <c r="K71" s="6">
        <f t="shared" si="53"/>
        <v>9.6390261770944944E-5</v>
      </c>
      <c r="L71" s="9">
        <f t="shared" si="59"/>
        <v>78888524675193.109</v>
      </c>
      <c r="M71" s="6">
        <f t="shared" si="54"/>
        <v>2046294417138554</v>
      </c>
      <c r="N71" s="2">
        <f t="shared" si="55"/>
        <v>9.0909090909090917</v>
      </c>
      <c r="O71" s="12">
        <v>1100</v>
      </c>
      <c r="P71" s="13"/>
      <c r="Q71" s="6">
        <f t="shared" si="56"/>
        <v>164887436541.81763</v>
      </c>
      <c r="R71" s="6"/>
    </row>
    <row r="72" spans="4:20" ht="15.75">
      <c r="D72" s="2">
        <f t="shared" si="48"/>
        <v>0.84401774144211206</v>
      </c>
      <c r="E72" s="2">
        <f t="shared" si="49"/>
        <v>-7.3648424311040184E-2</v>
      </c>
      <c r="F72" s="2">
        <f t="shared" si="50"/>
        <v>-2.8864417752383633</v>
      </c>
      <c r="G72" s="6">
        <f t="shared" si="51"/>
        <v>1.9791638341106216E-3</v>
      </c>
      <c r="H72" s="2">
        <f t="shared" si="57"/>
        <v>-0.18292352159490449</v>
      </c>
      <c r="I72" s="2">
        <f t="shared" si="52"/>
        <v>1.1614733247380169</v>
      </c>
      <c r="J72" s="4">
        <f t="shared" si="58"/>
        <v>0.47424772487721328</v>
      </c>
      <c r="K72" s="6">
        <f t="shared" si="53"/>
        <v>8.8357739956699532E-5</v>
      </c>
      <c r="L72" s="9">
        <f t="shared" si="59"/>
        <v>82387769635664.406</v>
      </c>
      <c r="M72" s="6">
        <f t="shared" si="54"/>
        <v>1845439846196299.5</v>
      </c>
      <c r="N72" s="2">
        <f t="shared" si="55"/>
        <v>8.3333333333333339</v>
      </c>
      <c r="O72" s="12">
        <v>1200</v>
      </c>
      <c r="P72" s="13"/>
      <c r="Q72" s="6">
        <f t="shared" si="56"/>
        <v>137352755859.35405</v>
      </c>
      <c r="R72" s="6"/>
    </row>
    <row r="73" spans="4:20" ht="15.75">
      <c r="D73" s="2">
        <f t="shared" si="48"/>
        <v>0.84920230885416514</v>
      </c>
      <c r="E73" s="2">
        <f t="shared" si="49"/>
        <v>-7.0988833722642336E-2</v>
      </c>
      <c r="F73" s="2">
        <f t="shared" si="50"/>
        <v>-2.9804320312376431</v>
      </c>
      <c r="G73" s="6">
        <f t="shared" si="51"/>
        <v>1.5940116470606375E-3</v>
      </c>
      <c r="H73" s="2">
        <f t="shared" si="57"/>
        <v>-0.18292352159490449</v>
      </c>
      <c r="I73" s="2">
        <f t="shared" si="52"/>
        <v>1.1614733247380169</v>
      </c>
      <c r="J73" s="4">
        <f t="shared" si="58"/>
        <v>0.47424772487721328</v>
      </c>
      <c r="K73" s="6">
        <f t="shared" si="53"/>
        <v>8.1560990729261107E-5</v>
      </c>
      <c r="L73" s="9">
        <f t="shared" si="59"/>
        <v>85801817887422.609</v>
      </c>
      <c r="M73" s="6">
        <f t="shared" si="54"/>
        <v>1676893522609695.7</v>
      </c>
      <c r="N73" s="2">
        <f t="shared" si="55"/>
        <v>7.6923076923076925</v>
      </c>
      <c r="O73" s="12">
        <v>1300</v>
      </c>
      <c r="P73" s="13"/>
      <c r="Q73" s="6">
        <f t="shared" si="56"/>
        <v>115959791737.43625</v>
      </c>
      <c r="R73" s="6"/>
    </row>
    <row r="74" spans="4:20" ht="15.75">
      <c r="D74" s="2">
        <f>10^E74</f>
        <v>0.85779685168649533</v>
      </c>
      <c r="E74" s="2">
        <f>LOG(J74)/(1+(F74/(I74-0.14*F74))^2)</f>
        <v>-6.6615552055550767E-2</v>
      </c>
      <c r="F74" s="2">
        <f>LOG(G74)+H74</f>
        <v>-3.1497914193499255</v>
      </c>
      <c r="G74" s="6">
        <f>M74*K74/L74</f>
        <v>1.0792749625591501E-3</v>
      </c>
      <c r="H74" s="2">
        <f>-0.4-0.67*LOG(J74)</f>
        <v>-0.18292352159490449</v>
      </c>
      <c r="I74" s="2">
        <f>0.75-1.27*LOG(J74)</f>
        <v>1.1614733247380169</v>
      </c>
      <c r="J74" s="4">
        <f t="shared" si="58"/>
        <v>0.47424772487721328</v>
      </c>
      <c r="K74" s="6">
        <f>$P$62*101325/760/8.314/O74/1000000</f>
        <v>7.0686191965359631E-5</v>
      </c>
      <c r="L74" s="9">
        <f t="shared" si="59"/>
        <v>92396720595423.437</v>
      </c>
      <c r="M74" s="6">
        <f>$B$7*O74^$B$8*EXP(-$B$9/1.987/O74)</f>
        <v>1410763041388383.7</v>
      </c>
      <c r="N74" s="2">
        <f>10000/O74</f>
        <v>6.666666666666667</v>
      </c>
      <c r="O74" s="12">
        <v>1500</v>
      </c>
      <c r="P74" s="13"/>
      <c r="Q74" s="6">
        <f>L74/(1+L74/M74/K74)*D74</f>
        <v>85448538108.67952</v>
      </c>
      <c r="R74" s="6"/>
    </row>
    <row r="75" spans="4:20" ht="15.75">
      <c r="D75" s="2">
        <f>10^E75</f>
        <v>0.86761132865551183</v>
      </c>
      <c r="E75" s="2">
        <f>LOG(J75)/(1+(F75/(I75-0.14*F75))^2)</f>
        <v>-6.1674785910431684E-2</v>
      </c>
      <c r="F75" s="2">
        <f>LOG(G75)+H75</f>
        <v>-3.3677183618875652</v>
      </c>
      <c r="G75" s="6">
        <f>M75*K75/L75</f>
        <v>6.5343916289540768E-4</v>
      </c>
      <c r="H75" s="2">
        <f>-0.4-0.67*LOG(J75)</f>
        <v>-0.18292352159490449</v>
      </c>
      <c r="I75" s="2">
        <f>0.75-1.27*LOG(J75)</f>
        <v>1.1614733247380169</v>
      </c>
      <c r="J75" s="4">
        <f t="shared" si="58"/>
        <v>0.47424772487721328</v>
      </c>
      <c r="K75" s="6">
        <f>$P$62*101325/760/8.314/O75/1000000</f>
        <v>5.8905159971133019E-5</v>
      </c>
      <c r="L75" s="9">
        <f t="shared" si="59"/>
        <v>101779852540394.17</v>
      </c>
      <c r="M75" s="6">
        <f>$B$7*O75^$B$8*EXP(-$B$9/1.987/O75)</f>
        <v>1129051201562061.7</v>
      </c>
      <c r="N75" s="2">
        <f>10000/O75</f>
        <v>5.5555555555555554</v>
      </c>
      <c r="O75" s="12">
        <v>1800</v>
      </c>
      <c r="P75" s="13"/>
      <c r="Q75" s="6">
        <f>L75/(1+L75/M75/K75)*D75</f>
        <v>57664495764.388771</v>
      </c>
      <c r="R75" s="6"/>
    </row>
    <row r="76" spans="4:20">
      <c r="D76" s="2" t="s">
        <v>4</v>
      </c>
      <c r="E76" s="2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13</v>
      </c>
      <c r="N76" s="2" t="s">
        <v>14</v>
      </c>
      <c r="P76">
        <f>760*10</f>
        <v>7600</v>
      </c>
      <c r="Q76" s="6" t="s">
        <v>16</v>
      </c>
    </row>
    <row r="77" spans="4:20" ht="15.75">
      <c r="D77" s="2">
        <f t="shared" ref="D77:D87" si="60">10^E77</f>
        <v>0.68870308895861454</v>
      </c>
      <c r="E77" s="2">
        <f t="shared" ref="E77:E87" si="61">LOG(J77)/(1+(F77/(I77-0.14*F77))^2)</f>
        <v>-0.16196796912057113</v>
      </c>
      <c r="F77" s="2">
        <f t="shared" ref="F77:F87" si="62">LOG(G77)+H77</f>
        <v>-1.3508354437567491</v>
      </c>
      <c r="G77" s="6">
        <f t="shared" ref="G77:G87" si="63">M77*K77/L77</f>
        <v>6.7934139364515742E-2</v>
      </c>
      <c r="H77" s="2">
        <f>-0.4-0.67*LOG(J77)</f>
        <v>-0.18292352159490449</v>
      </c>
      <c r="I77" s="2">
        <f t="shared" ref="I77:I87" si="64">0.75-1.27*LOG(J77)</f>
        <v>1.1614733247380169</v>
      </c>
      <c r="J77" s="4">
        <f>(1-$B$10)*EXP(-O77/$B$11)+$B$10*EXP(-O77/$B$12)+EXP(-B$13/O77)</f>
        <v>0.47424772487721328</v>
      </c>
      <c r="K77" s="6">
        <f t="shared" ref="K77:K87" si="65">$P$76*101325/760/8.314/O77/1000000</f>
        <v>4.0624248255953814E-4</v>
      </c>
      <c r="L77" s="9">
        <f>B$4*O77^B$5*EXP(-B$6/1.987/O77)</f>
        <v>48271057302442.148</v>
      </c>
      <c r="M77" s="6">
        <f t="shared" ref="M77:M87" si="66">$B$7*O77^$B$8*EXP(-$B$9/1.987/O77)</f>
        <v>8072156100946505</v>
      </c>
      <c r="N77" s="2">
        <f t="shared" ref="N77:N87" si="67">10000/O77</f>
        <v>33.333333333333336</v>
      </c>
      <c r="O77" s="12">
        <v>300</v>
      </c>
      <c r="P77" s="13"/>
      <c r="Q77" s="6">
        <f t="shared" ref="Q77:Q87" si="68">L77/(1+L77/M77/K77)*D77</f>
        <v>2114766636044.3198</v>
      </c>
      <c r="R77" s="6"/>
    </row>
    <row r="78" spans="4:20" ht="15.75">
      <c r="D78" s="2">
        <f t="shared" si="60"/>
        <v>0.72946980836947062</v>
      </c>
      <c r="E78" s="2">
        <f t="shared" si="61"/>
        <v>-0.13699267817749156</v>
      </c>
      <c r="F78" s="2">
        <f t="shared" si="62"/>
        <v>-1.6223850986792057</v>
      </c>
      <c r="G78" s="6">
        <f t="shared" si="63"/>
        <v>3.6352846522574186E-2</v>
      </c>
      <c r="H78" s="2">
        <f t="shared" ref="H78:H87" si="69">-0.4-0.67*LOG(J78)</f>
        <v>-0.18292352159490449</v>
      </c>
      <c r="I78" s="2">
        <f t="shared" si="64"/>
        <v>1.1614733247380169</v>
      </c>
      <c r="J78" s="4">
        <f t="shared" ref="J78:J89" si="70">(1-$B$10)*EXP(-O78/$B$11)+$B$10*EXP(-O78/$B$12)+EXP(-B$13/O78)</f>
        <v>0.47424772487721328</v>
      </c>
      <c r="K78" s="6">
        <f t="shared" si="65"/>
        <v>3.046818619196536E-4</v>
      </c>
      <c r="L78" s="9">
        <f t="shared" ref="L78:L89" si="71">B$4*O78^B$5*EXP(-B$6/1.987/O78)</f>
        <v>51915144096005.555</v>
      </c>
      <c r="M78" s="6">
        <f t="shared" si="66"/>
        <v>6194209440721797</v>
      </c>
      <c r="N78" s="2">
        <f t="shared" si="67"/>
        <v>25</v>
      </c>
      <c r="O78" s="12">
        <v>400</v>
      </c>
      <c r="P78" s="13"/>
      <c r="Q78" s="20">
        <f t="shared" si="68"/>
        <v>1328410084712.5911</v>
      </c>
      <c r="R78" s="20"/>
      <c r="S78" s="6"/>
      <c r="T78" s="6"/>
    </row>
    <row r="79" spans="4:20" ht="15.75">
      <c r="D79" s="2">
        <f t="shared" si="60"/>
        <v>0.75818093753416049</v>
      </c>
      <c r="E79" s="2">
        <f t="shared" si="61"/>
        <v>-0.120227138964976</v>
      </c>
      <c r="F79" s="2">
        <f t="shared" si="62"/>
        <v>-1.8491024639390672</v>
      </c>
      <c r="G79" s="6">
        <f t="shared" si="63"/>
        <v>2.156855536913067E-2</v>
      </c>
      <c r="H79" s="2">
        <f t="shared" si="69"/>
        <v>-0.18292352159490449</v>
      </c>
      <c r="I79" s="2">
        <f t="shared" si="64"/>
        <v>1.1614733247380169</v>
      </c>
      <c r="J79" s="4">
        <f t="shared" si="70"/>
        <v>0.47424772487721328</v>
      </c>
      <c r="K79" s="6">
        <f t="shared" si="65"/>
        <v>2.4374548953572288E-4</v>
      </c>
      <c r="L79" s="9">
        <f t="shared" si="71"/>
        <v>55914419404048.281</v>
      </c>
      <c r="M79" s="6">
        <f t="shared" si="66"/>
        <v>4947756174467637</v>
      </c>
      <c r="N79" s="2">
        <f t="shared" si="67"/>
        <v>20</v>
      </c>
      <c r="O79" s="12">
        <v>500</v>
      </c>
      <c r="P79" s="13"/>
      <c r="Q79" s="6">
        <f t="shared" si="68"/>
        <v>895056028088.276</v>
      </c>
      <c r="R79" s="6"/>
    </row>
    <row r="80" spans="4:20" ht="15.75">
      <c r="D80" s="37">
        <f t="shared" si="60"/>
        <v>0.77927930762527775</v>
      </c>
      <c r="E80" s="37">
        <f t="shared" si="61"/>
        <v>-0.10830685552454068</v>
      </c>
      <c r="F80" s="37">
        <f t="shared" si="62"/>
        <v>-2.0426078872422382</v>
      </c>
      <c r="G80" s="20">
        <f t="shared" si="63"/>
        <v>1.381387857964154E-2</v>
      </c>
      <c r="H80" s="37">
        <f t="shared" si="69"/>
        <v>-0.18292352159490449</v>
      </c>
      <c r="I80" s="37">
        <f t="shared" si="64"/>
        <v>1.1614733247380169</v>
      </c>
      <c r="J80" s="20">
        <f t="shared" si="70"/>
        <v>0.47424772487721328</v>
      </c>
      <c r="K80" s="20">
        <f t="shared" si="65"/>
        <v>2.0312124127976907E-4</v>
      </c>
      <c r="L80" s="38">
        <f t="shared" si="71"/>
        <v>59954213423504.078</v>
      </c>
      <c r="M80" s="20">
        <f t="shared" si="66"/>
        <v>4077368862813705</v>
      </c>
      <c r="N80" s="37">
        <f t="shared" si="67"/>
        <v>16.666666666666668</v>
      </c>
      <c r="O80" s="39">
        <v>600</v>
      </c>
      <c r="P80" s="40"/>
      <c r="Q80" s="20">
        <f t="shared" si="68"/>
        <v>636605309134.62427</v>
      </c>
      <c r="R80" s="20">
        <f>0.0000000000011*6.02E+23</f>
        <v>662200000000</v>
      </c>
      <c r="S80" s="20">
        <f>(R80-Q80)^2/Q80^2</f>
        <v>1.616438792917695E-3</v>
      </c>
      <c r="T80" s="20"/>
    </row>
    <row r="81" spans="4:20" ht="15.75">
      <c r="D81" s="2">
        <f t="shared" si="60"/>
        <v>0.79540822625348184</v>
      </c>
      <c r="E81" s="2">
        <f t="shared" si="61"/>
        <v>-9.9409921775963098E-2</v>
      </c>
      <c r="F81" s="2">
        <f t="shared" si="62"/>
        <v>-2.2110206284618155</v>
      </c>
      <c r="G81" s="6">
        <f t="shared" si="63"/>
        <v>9.373523944738749E-3</v>
      </c>
      <c r="H81" s="2">
        <f t="shared" si="69"/>
        <v>-0.18292352159490449</v>
      </c>
      <c r="I81" s="2">
        <f t="shared" si="64"/>
        <v>1.1614733247380169</v>
      </c>
      <c r="J81" s="4">
        <f t="shared" si="70"/>
        <v>0.47424772487721328</v>
      </c>
      <c r="K81" s="6">
        <f t="shared" si="65"/>
        <v>1.7410392109694489E-4</v>
      </c>
      <c r="L81" s="9">
        <f t="shared" si="71"/>
        <v>63935043186733.742</v>
      </c>
      <c r="M81" s="6">
        <f t="shared" si="66"/>
        <v>3442177835185304</v>
      </c>
      <c r="N81" s="2">
        <f t="shared" si="67"/>
        <v>14.285714285714286</v>
      </c>
      <c r="O81" s="12">
        <v>700</v>
      </c>
      <c r="P81" s="13"/>
      <c r="Q81" s="6">
        <f t="shared" si="68"/>
        <v>472258763089.48688</v>
      </c>
      <c r="R81" s="6"/>
    </row>
    <row r="82" spans="4:20" ht="15.75">
      <c r="D82" s="2">
        <f t="shared" si="60"/>
        <v>0.80814957297670764</v>
      </c>
      <c r="E82" s="2">
        <f t="shared" si="61"/>
        <v>-9.2508252212110606E-2</v>
      </c>
      <c r="F82" s="2">
        <f t="shared" si="62"/>
        <v>-2.3599478907293214</v>
      </c>
      <c r="G82" s="6">
        <f t="shared" si="63"/>
        <v>6.6523582743795518E-3</v>
      </c>
      <c r="H82" s="2">
        <f t="shared" si="69"/>
        <v>-0.18292352159490449</v>
      </c>
      <c r="I82" s="2">
        <f t="shared" si="64"/>
        <v>1.1614733247380169</v>
      </c>
      <c r="J82" s="4">
        <f t="shared" si="70"/>
        <v>0.47424772487721328</v>
      </c>
      <c r="K82" s="6">
        <f t="shared" si="65"/>
        <v>1.523409309598268E-4</v>
      </c>
      <c r="L82" s="9">
        <f t="shared" si="71"/>
        <v>67823786331033.422</v>
      </c>
      <c r="M82" s="6">
        <f t="shared" si="66"/>
        <v>2961699940759728.5</v>
      </c>
      <c r="N82" s="2">
        <f t="shared" si="67"/>
        <v>12.5</v>
      </c>
      <c r="O82" s="12">
        <v>800</v>
      </c>
      <c r="P82" s="13"/>
      <c r="Q82" s="6">
        <f t="shared" si="68"/>
        <v>362217888353.16895</v>
      </c>
      <c r="R82" s="6"/>
    </row>
    <row r="83" spans="4:20" ht="15.75">
      <c r="D83" s="2">
        <f t="shared" si="60"/>
        <v>0.81848778075539053</v>
      </c>
      <c r="E83" s="2">
        <f t="shared" si="61"/>
        <v>-8.6987799807469318E-2</v>
      </c>
      <c r="F83" s="2">
        <f t="shared" si="62"/>
        <v>-2.4933575748483565</v>
      </c>
      <c r="G83" s="6">
        <f t="shared" si="63"/>
        <v>4.8928955713221497E-3</v>
      </c>
      <c r="H83" s="2">
        <f t="shared" si="69"/>
        <v>-0.18292352159490449</v>
      </c>
      <c r="I83" s="2">
        <f t="shared" si="64"/>
        <v>1.1614733247380169</v>
      </c>
      <c r="J83" s="4">
        <f t="shared" si="70"/>
        <v>0.47424772487721328</v>
      </c>
      <c r="K83" s="6">
        <f t="shared" si="65"/>
        <v>1.3541416085317937E-4</v>
      </c>
      <c r="L83" s="9">
        <f t="shared" si="71"/>
        <v>71611384152110.969</v>
      </c>
      <c r="M83" s="6">
        <f t="shared" si="66"/>
        <v>2587521291469763</v>
      </c>
      <c r="N83" s="2">
        <f t="shared" si="67"/>
        <v>11.111111111111111</v>
      </c>
      <c r="O83" s="12">
        <v>900</v>
      </c>
      <c r="P83" s="13"/>
      <c r="Q83" s="6">
        <f t="shared" si="68"/>
        <v>285391109091.68317</v>
      </c>
      <c r="R83" s="6"/>
    </row>
    <row r="84" spans="4:20" ht="15.75">
      <c r="D84" s="26">
        <f t="shared" si="60"/>
        <v>0.827061798983041</v>
      </c>
      <c r="E84" s="26">
        <f t="shared" si="61"/>
        <v>-8.246203826537532E-2</v>
      </c>
      <c r="F84" s="26">
        <f t="shared" si="62"/>
        <v>-2.614139465127959</v>
      </c>
      <c r="G84" s="27">
        <f t="shared" si="63"/>
        <v>3.7049645463037195E-3</v>
      </c>
      <c r="H84" s="26">
        <f t="shared" si="69"/>
        <v>-0.18292352159490449</v>
      </c>
      <c r="I84" s="26">
        <f t="shared" si="64"/>
        <v>1.1614733247380169</v>
      </c>
      <c r="J84" s="31">
        <f t="shared" si="70"/>
        <v>0.47424772487721328</v>
      </c>
      <c r="K84" s="6">
        <f t="shared" si="65"/>
        <v>1.2187274476786144E-4</v>
      </c>
      <c r="L84" s="28">
        <f t="shared" si="71"/>
        <v>75298240556451.203</v>
      </c>
      <c r="M84" s="27">
        <f t="shared" si="66"/>
        <v>2289086966836481</v>
      </c>
      <c r="N84" s="26">
        <f t="shared" si="67"/>
        <v>10</v>
      </c>
      <c r="O84" s="29">
        <v>1000</v>
      </c>
      <c r="P84" s="30"/>
      <c r="Q84" s="27">
        <f t="shared" si="68"/>
        <v>229879780819.70242</v>
      </c>
      <c r="R84" s="27"/>
      <c r="S84" s="27"/>
      <c r="T84" s="27"/>
    </row>
    <row r="85" spans="4:20" ht="15.75">
      <c r="D85" s="2">
        <f t="shared" si="60"/>
        <v>0.83430258716068628</v>
      </c>
      <c r="E85" s="2">
        <f t="shared" si="61"/>
        <v>-7.8676409672958858E-2</v>
      </c>
      <c r="F85" s="2">
        <f t="shared" si="62"/>
        <v>-2.7244553293608029</v>
      </c>
      <c r="G85" s="6">
        <f t="shared" si="63"/>
        <v>2.8738771028961711E-3</v>
      </c>
      <c r="H85" s="2">
        <f t="shared" si="69"/>
        <v>-0.18292352159490449</v>
      </c>
      <c r="I85" s="2">
        <f t="shared" si="64"/>
        <v>1.1614733247380169</v>
      </c>
      <c r="J85" s="4">
        <f t="shared" si="70"/>
        <v>0.47424772487721328</v>
      </c>
      <c r="K85" s="6">
        <f t="shared" si="65"/>
        <v>1.107934043344195E-4</v>
      </c>
      <c r="L85" s="9">
        <f t="shared" si="71"/>
        <v>78888524675193.109</v>
      </c>
      <c r="M85" s="6">
        <f t="shared" si="66"/>
        <v>2046294417138554</v>
      </c>
      <c r="N85" s="2">
        <f t="shared" si="67"/>
        <v>9.0909090909090917</v>
      </c>
      <c r="O85" s="12">
        <v>1100</v>
      </c>
      <c r="P85" s="13"/>
      <c r="Q85" s="6">
        <f t="shared" si="68"/>
        <v>188607647366.3316</v>
      </c>
      <c r="R85" s="6"/>
    </row>
    <row r="86" spans="4:20" ht="15.75">
      <c r="D86" s="2">
        <f t="shared" si="60"/>
        <v>0.840510769932729</v>
      </c>
      <c r="E86" s="2">
        <f t="shared" si="61"/>
        <v>-7.54567173317226E-2</v>
      </c>
      <c r="F86" s="2">
        <f t="shared" si="62"/>
        <v>-2.8259610278569816</v>
      </c>
      <c r="G86" s="6">
        <f t="shared" si="63"/>
        <v>2.2749009587478409E-3</v>
      </c>
      <c r="H86" s="2">
        <f t="shared" si="69"/>
        <v>-0.18292352159490449</v>
      </c>
      <c r="I86" s="2">
        <f t="shared" si="64"/>
        <v>1.1614733247380169</v>
      </c>
      <c r="J86" s="4">
        <f t="shared" si="70"/>
        <v>0.47424772487721328</v>
      </c>
      <c r="K86" s="6">
        <f t="shared" si="65"/>
        <v>1.0156062063988453E-4</v>
      </c>
      <c r="L86" s="9">
        <f t="shared" si="71"/>
        <v>82387769635664.406</v>
      </c>
      <c r="M86" s="6">
        <f t="shared" si="66"/>
        <v>1845439846196299.5</v>
      </c>
      <c r="N86" s="2">
        <f t="shared" si="67"/>
        <v>8.3333333333333339</v>
      </c>
      <c r="O86" s="12">
        <v>1200</v>
      </c>
      <c r="P86" s="13"/>
      <c r="Q86" s="6">
        <f t="shared" si="68"/>
        <v>157174348029.03653</v>
      </c>
      <c r="R86" s="6"/>
    </row>
    <row r="87" spans="4:20" ht="15.75">
      <c r="D87" s="2">
        <f t="shared" si="60"/>
        <v>0.84590226032466775</v>
      </c>
      <c r="E87" s="2">
        <f t="shared" si="61"/>
        <v>-7.2679814566033771E-2</v>
      </c>
      <c r="F87" s="2">
        <f t="shared" si="62"/>
        <v>-2.9199512838562613</v>
      </c>
      <c r="G87" s="6">
        <f t="shared" si="63"/>
        <v>1.8321972954719976E-3</v>
      </c>
      <c r="H87" s="2">
        <f t="shared" si="69"/>
        <v>-0.18292352159490449</v>
      </c>
      <c r="I87" s="2">
        <f t="shared" si="64"/>
        <v>1.1614733247380169</v>
      </c>
      <c r="J87" s="4">
        <f t="shared" si="70"/>
        <v>0.47424772487721328</v>
      </c>
      <c r="K87" s="6">
        <f t="shared" si="65"/>
        <v>9.3748265206047265E-5</v>
      </c>
      <c r="L87" s="9">
        <f t="shared" si="71"/>
        <v>85801817887422.609</v>
      </c>
      <c r="M87" s="6">
        <f t="shared" si="66"/>
        <v>1676893522609695.7</v>
      </c>
      <c r="N87" s="2">
        <f t="shared" si="67"/>
        <v>7.6923076923076925</v>
      </c>
      <c r="O87" s="12">
        <v>1300</v>
      </c>
      <c r="P87" s="13"/>
      <c r="Q87" s="6">
        <f t="shared" si="68"/>
        <v>132737589740.69136</v>
      </c>
      <c r="R87" s="6"/>
    </row>
    <row r="88" spans="4:20" ht="15.75">
      <c r="D88" s="2">
        <f>10^E88</f>
        <v>0.85483203875067248</v>
      </c>
      <c r="E88" s="2">
        <f>LOG(J88)/(1+(F88/(I88-0.14*F88))^2)</f>
        <v>-6.8119209025667482E-2</v>
      </c>
      <c r="F88" s="2">
        <f>LOG(G88)+H88</f>
        <v>-3.0893106719685437</v>
      </c>
      <c r="G88" s="6">
        <f>M88*K88/L88</f>
        <v>1.2405459339760348E-3</v>
      </c>
      <c r="H88" s="2">
        <f>-0.4-0.67*LOG(J88)</f>
        <v>-0.18292352159490449</v>
      </c>
      <c r="I88" s="2">
        <f>0.75-1.27*LOG(J88)</f>
        <v>1.1614733247380169</v>
      </c>
      <c r="J88" s="4">
        <f t="shared" si="70"/>
        <v>0.47424772487721328</v>
      </c>
      <c r="K88" s="6">
        <f>$P$76*101325/760/8.314/O88/1000000</f>
        <v>8.124849651190763E-5</v>
      </c>
      <c r="L88" s="9">
        <f t="shared" si="71"/>
        <v>92396720595423.437</v>
      </c>
      <c r="M88" s="6">
        <f>$B$7*O88^$B$8*EXP(-$B$9/1.987/O88)</f>
        <v>1410763041388383.7</v>
      </c>
      <c r="N88" s="2">
        <f>10000/O88</f>
        <v>6.666666666666667</v>
      </c>
      <c r="O88" s="12">
        <v>1500</v>
      </c>
      <c r="P88" s="13"/>
      <c r="Q88" s="6">
        <f>L88/(1+L88/M88/K88)*D88</f>
        <v>97861477744.712433</v>
      </c>
      <c r="R88" s="6"/>
    </row>
    <row r="89" spans="4:20" ht="15.75">
      <c r="D89" s="2">
        <f>10^E89</f>
        <v>0.86501616506540868</v>
      </c>
      <c r="E89" s="2">
        <f>LOG(J89)/(1+(F89/(I89-0.14*F89))^2)</f>
        <v>-6.2975776543152173E-2</v>
      </c>
      <c r="F89" s="2">
        <f>LOG(G89)+H89</f>
        <v>-3.3072376145061835</v>
      </c>
      <c r="G89" s="6">
        <f>M89*K89/L89</f>
        <v>7.5107949758092848E-4</v>
      </c>
      <c r="H89" s="2">
        <f>-0.4-0.67*LOG(J89)</f>
        <v>-0.18292352159490449</v>
      </c>
      <c r="I89" s="2">
        <f>0.75-1.27*LOG(J89)</f>
        <v>1.1614733247380169</v>
      </c>
      <c r="J89" s="4">
        <f t="shared" si="70"/>
        <v>0.47424772487721328</v>
      </c>
      <c r="K89" s="6">
        <f>$P$76*101325/760/8.314/O89/1000000</f>
        <v>6.7707080426589685E-5</v>
      </c>
      <c r="L89" s="9">
        <f t="shared" si="71"/>
        <v>101779852540394.17</v>
      </c>
      <c r="M89" s="6">
        <f>$B$7*O89^$B$8*EXP(-$B$9/1.987/O89)</f>
        <v>1129051201562061.7</v>
      </c>
      <c r="N89" s="2">
        <f>10000/O89</f>
        <v>5.5555555555555554</v>
      </c>
      <c r="O89" s="12">
        <v>1800</v>
      </c>
      <c r="P89" s="13"/>
      <c r="Q89" s="6">
        <f>L89/(1+L89/M89/K89)*D89</f>
        <v>66076325002.632523</v>
      </c>
      <c r="R89" s="6"/>
    </row>
    <row r="90" spans="4:20">
      <c r="D90" s="2" t="s">
        <v>4</v>
      </c>
      <c r="E90" s="2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s="2" t="s">
        <v>14</v>
      </c>
      <c r="P90">
        <f>760*11</f>
        <v>8360</v>
      </c>
      <c r="Q90" s="6" t="s">
        <v>16</v>
      </c>
    </row>
    <row r="91" spans="4:20" ht="15.75">
      <c r="D91" s="2">
        <f t="shared" ref="D91:D101" si="72">10^E91</f>
        <v>0.68184869756389177</v>
      </c>
      <c r="E91" s="2">
        <f t="shared" ref="E91:E101" si="73">LOG(J91)/(1+(F91/(I91-0.14*F91))^2)</f>
        <v>-0.16631198473219411</v>
      </c>
      <c r="F91" s="2">
        <f t="shared" ref="F91:F101" si="74">LOG(G91)+H91</f>
        <v>-1.3094427585985242</v>
      </c>
      <c r="G91" s="6">
        <f t="shared" ref="G91:G101" si="75">M91*K91/L91</f>
        <v>7.4727553300967309E-2</v>
      </c>
      <c r="H91" s="2">
        <f>-0.4-0.67*LOG(J91)</f>
        <v>-0.18292352159490449</v>
      </c>
      <c r="I91" s="2">
        <f t="shared" ref="I91:I101" si="76">0.75-1.27*LOG(J91)</f>
        <v>1.1614733247380169</v>
      </c>
      <c r="J91" s="4">
        <f>(1-$B$10)*EXP(-O91/$B$11)+$B$10*EXP(-O91/$B$12)+EXP(-B$13/O91)</f>
        <v>0.47424772487721328</v>
      </c>
      <c r="K91" s="6">
        <f>$P$90*101325/760/8.314/O91/1000000</f>
        <v>4.4686673081549197E-4</v>
      </c>
      <c r="L91" s="9">
        <f>B$4*O91^B$5*EXP(-B$6/1.987/O91)</f>
        <v>48271057302442.148</v>
      </c>
      <c r="M91" s="6">
        <f t="shared" ref="M91:M101" si="77">$B$7*O91^$B$8*EXP(-$B$9/1.987/O91)</f>
        <v>8072156100946505</v>
      </c>
      <c r="N91" s="2">
        <f t="shared" ref="N91:N101" si="78">10000/O91</f>
        <v>33.333333333333336</v>
      </c>
      <c r="O91" s="12">
        <v>300</v>
      </c>
      <c r="P91" s="13"/>
      <c r="Q91" s="6">
        <f t="shared" ref="Q91:Q101" si="79">L91/(1+L91/M91/K91)*D91</f>
        <v>2288533143785.9814</v>
      </c>
      <c r="R91" s="6"/>
    </row>
    <row r="92" spans="4:20" ht="15.75">
      <c r="D92" s="37">
        <f t="shared" si="72"/>
        <v>0.72372018766588264</v>
      </c>
      <c r="E92" s="37">
        <f t="shared" si="73"/>
        <v>-0.1404293128657054</v>
      </c>
      <c r="F92" s="37">
        <f t="shared" si="74"/>
        <v>-1.5809924135209807</v>
      </c>
      <c r="G92" s="20">
        <f t="shared" si="75"/>
        <v>3.9988131174831604E-2</v>
      </c>
      <c r="H92" s="37">
        <f t="shared" ref="H92:H101" si="80">-0.4-0.67*LOG(J92)</f>
        <v>-0.18292352159490449</v>
      </c>
      <c r="I92" s="37">
        <f t="shared" si="76"/>
        <v>1.1614733247380169</v>
      </c>
      <c r="J92" s="20">
        <f t="shared" ref="J92:J103" si="81">(1-$B$10)*EXP(-O92/$B$11)+$B$10*EXP(-O92/$B$12)+EXP(-B$13/O92)</f>
        <v>0.47424772487721328</v>
      </c>
      <c r="K92" s="20">
        <f t="shared" ref="K92:K101" si="82">$P$90*101325/760/8.314/O92/1000000</f>
        <v>3.3515004811161895E-4</v>
      </c>
      <c r="L92" s="38">
        <f t="shared" ref="L92:L103" si="83">B$4*O92^B$5*EXP(-B$6/1.987/O92)</f>
        <v>51915144096005.555</v>
      </c>
      <c r="M92" s="20">
        <f t="shared" si="77"/>
        <v>6194209440721797</v>
      </c>
      <c r="N92" s="37">
        <f t="shared" si="78"/>
        <v>25</v>
      </c>
      <c r="O92" s="39">
        <v>400</v>
      </c>
      <c r="P92" s="40"/>
      <c r="Q92" s="20">
        <f t="shared" si="79"/>
        <v>1444666080437.9185</v>
      </c>
      <c r="R92" s="20">
        <f>0.0000000000022*6.02E+23</f>
        <v>1324400000000</v>
      </c>
      <c r="S92" s="20">
        <f>(R92-Q92)^2/Q92^2</f>
        <v>6.9302892691050213E-3</v>
      </c>
      <c r="T92" s="20"/>
    </row>
    <row r="93" spans="4:20" ht="15.75">
      <c r="D93" s="2">
        <f t="shared" si="72"/>
        <v>0.75327618752462533</v>
      </c>
      <c r="E93" s="2">
        <f t="shared" si="73"/>
        <v>-0.12304576121485052</v>
      </c>
      <c r="F93" s="2">
        <f t="shared" si="74"/>
        <v>-1.8077097787808423</v>
      </c>
      <c r="G93" s="6">
        <f t="shared" si="75"/>
        <v>2.3725410906043732E-2</v>
      </c>
      <c r="H93" s="2">
        <f t="shared" si="80"/>
        <v>-0.18292352159490449</v>
      </c>
      <c r="I93" s="2">
        <f t="shared" si="76"/>
        <v>1.1614733247380169</v>
      </c>
      <c r="J93" s="4">
        <f t="shared" si="81"/>
        <v>0.47424772487721328</v>
      </c>
      <c r="K93" s="6">
        <f t="shared" si="82"/>
        <v>2.6812003848929514E-4</v>
      </c>
      <c r="L93" s="9">
        <f t="shared" si="83"/>
        <v>55914419404048.281</v>
      </c>
      <c r="M93" s="6">
        <f t="shared" si="77"/>
        <v>4947756174467637</v>
      </c>
      <c r="N93" s="2">
        <f t="shared" si="78"/>
        <v>20</v>
      </c>
      <c r="O93" s="12">
        <v>500</v>
      </c>
      <c r="P93" s="13"/>
      <c r="Q93" s="6">
        <f t="shared" si="79"/>
        <v>976131477593.73328</v>
      </c>
      <c r="R93" s="6"/>
      <c r="S93" s="6"/>
      <c r="T93" s="6"/>
    </row>
    <row r="94" spans="4:20" ht="15.75">
      <c r="D94" s="2">
        <f t="shared" si="72"/>
        <v>0.77500873786391211</v>
      </c>
      <c r="E94" s="2">
        <f t="shared" si="73"/>
        <v>-0.11069340099731778</v>
      </c>
      <c r="F94" s="2">
        <f t="shared" si="74"/>
        <v>-2.0012152020840133</v>
      </c>
      <c r="G94" s="6">
        <f t="shared" si="75"/>
        <v>1.5195266437605692E-2</v>
      </c>
      <c r="H94" s="2">
        <f t="shared" si="80"/>
        <v>-0.18292352159490449</v>
      </c>
      <c r="I94" s="2">
        <f t="shared" si="76"/>
        <v>1.1614733247380169</v>
      </c>
      <c r="J94" s="4">
        <f t="shared" si="81"/>
        <v>0.47424772487721328</v>
      </c>
      <c r="K94" s="6">
        <f t="shared" si="82"/>
        <v>2.2343336540774599E-4</v>
      </c>
      <c r="L94" s="9">
        <f t="shared" si="83"/>
        <v>59954213423504.078</v>
      </c>
      <c r="M94" s="6">
        <f t="shared" si="77"/>
        <v>4077368862813705</v>
      </c>
      <c r="N94" s="2">
        <f t="shared" si="78"/>
        <v>16.666666666666668</v>
      </c>
      <c r="O94" s="12">
        <v>600</v>
      </c>
      <c r="P94" s="13"/>
      <c r="Q94" s="6">
        <f t="shared" si="79"/>
        <v>695480638217.13013</v>
      </c>
      <c r="R94" s="6"/>
      <c r="S94" s="6"/>
      <c r="T94" s="6"/>
    </row>
    <row r="95" spans="4:20" ht="15.75">
      <c r="D95" s="37">
        <f t="shared" si="72"/>
        <v>0.79162175214851715</v>
      </c>
      <c r="E95" s="37">
        <f t="shared" si="73"/>
        <v>-0.10148228077655666</v>
      </c>
      <c r="F95" s="37">
        <f t="shared" si="74"/>
        <v>-2.1696279433035905</v>
      </c>
      <c r="G95" s="20">
        <f t="shared" si="75"/>
        <v>1.0310876339212627E-2</v>
      </c>
      <c r="H95" s="37">
        <f t="shared" si="80"/>
        <v>-0.18292352159490449</v>
      </c>
      <c r="I95" s="37">
        <f t="shared" si="76"/>
        <v>1.1614733247380169</v>
      </c>
      <c r="J95" s="20">
        <f t="shared" si="81"/>
        <v>0.47424772487721328</v>
      </c>
      <c r="K95" s="20">
        <f t="shared" si="82"/>
        <v>1.9151431320663941E-4</v>
      </c>
      <c r="L95" s="38">
        <f t="shared" si="83"/>
        <v>63935043186733.742</v>
      </c>
      <c r="M95" s="20">
        <f t="shared" si="77"/>
        <v>3442177835185304</v>
      </c>
      <c r="N95" s="37">
        <f t="shared" si="78"/>
        <v>14.285714285714286</v>
      </c>
      <c r="O95" s="39">
        <v>700</v>
      </c>
      <c r="P95" s="40"/>
      <c r="Q95" s="20">
        <f t="shared" si="79"/>
        <v>516532000120.97638</v>
      </c>
      <c r="R95" s="20">
        <f>0.00000000000082*6.02E+23</f>
        <v>493640000000</v>
      </c>
      <c r="S95" s="20">
        <f>(R95-Q95)^2/Q95^2</f>
        <v>1.9641425994804959E-3</v>
      </c>
      <c r="T95" s="20"/>
    </row>
    <row r="96" spans="4:20" ht="15.75">
      <c r="D96" s="2">
        <f t="shared" si="72"/>
        <v>0.80474137885265884</v>
      </c>
      <c r="E96" s="2">
        <f t="shared" si="73"/>
        <v>-9.4343667188820632E-2</v>
      </c>
      <c r="F96" s="2">
        <f t="shared" si="74"/>
        <v>-2.3185552055710965</v>
      </c>
      <c r="G96" s="6">
        <f t="shared" si="75"/>
        <v>7.3175941018175069E-3</v>
      </c>
      <c r="H96" s="2">
        <f t="shared" si="80"/>
        <v>-0.18292352159490449</v>
      </c>
      <c r="I96" s="2">
        <f t="shared" si="76"/>
        <v>1.1614733247380169</v>
      </c>
      <c r="J96" s="4">
        <f t="shared" si="81"/>
        <v>0.47424772487721328</v>
      </c>
      <c r="K96" s="6">
        <f t="shared" si="82"/>
        <v>1.6757502405580948E-4</v>
      </c>
      <c r="L96" s="9">
        <f t="shared" si="83"/>
        <v>67823786331033.422</v>
      </c>
      <c r="M96" s="6">
        <f t="shared" si="77"/>
        <v>2961699940759728.5</v>
      </c>
      <c r="N96" s="2">
        <f t="shared" si="78"/>
        <v>12.5</v>
      </c>
      <c r="O96" s="12">
        <v>800</v>
      </c>
      <c r="P96" s="13"/>
      <c r="Q96" s="6">
        <f t="shared" si="79"/>
        <v>396497323801.23022</v>
      </c>
      <c r="R96" s="6"/>
      <c r="S96" s="6"/>
      <c r="T96" s="6"/>
    </row>
    <row r="97" spans="4:20" ht="15.75">
      <c r="D97" s="2">
        <f t="shared" si="72"/>
        <v>0.81538198483969948</v>
      </c>
      <c r="E97" s="2">
        <f t="shared" si="73"/>
        <v>-8.8638888139122574E-2</v>
      </c>
      <c r="F97" s="2">
        <f t="shared" si="74"/>
        <v>-2.4519648896901316</v>
      </c>
      <c r="G97" s="6">
        <f t="shared" si="75"/>
        <v>5.3821851284543655E-3</v>
      </c>
      <c r="H97" s="2">
        <f t="shared" si="80"/>
        <v>-0.18292352159490449</v>
      </c>
      <c r="I97" s="2">
        <f t="shared" si="76"/>
        <v>1.1614733247380169</v>
      </c>
      <c r="J97" s="4">
        <f t="shared" si="81"/>
        <v>0.47424772487721328</v>
      </c>
      <c r="K97" s="6">
        <f t="shared" si="82"/>
        <v>1.4895557693849734E-4</v>
      </c>
      <c r="L97" s="9">
        <f t="shared" si="83"/>
        <v>71611384152110.969</v>
      </c>
      <c r="M97" s="6">
        <f t="shared" si="77"/>
        <v>2587521291469763</v>
      </c>
      <c r="N97" s="2">
        <f t="shared" si="78"/>
        <v>11.111111111111111</v>
      </c>
      <c r="O97" s="12">
        <v>900</v>
      </c>
      <c r="P97" s="13"/>
      <c r="Q97" s="6">
        <f t="shared" si="79"/>
        <v>312586794141.0871</v>
      </c>
      <c r="R97" s="6"/>
      <c r="S97" s="6"/>
      <c r="T97" s="6"/>
    </row>
    <row r="98" spans="4:20" ht="15.75">
      <c r="D98" s="26">
        <f t="shared" si="72"/>
        <v>0.82420270922229644</v>
      </c>
      <c r="E98" s="26">
        <f t="shared" si="73"/>
        <v>-8.3965962247295883E-2</v>
      </c>
      <c r="F98" s="26">
        <f t="shared" si="74"/>
        <v>-2.5727467799697341</v>
      </c>
      <c r="G98" s="27">
        <f t="shared" si="75"/>
        <v>4.0754610009340912E-3</v>
      </c>
      <c r="H98" s="26">
        <f t="shared" si="80"/>
        <v>-0.18292352159490449</v>
      </c>
      <c r="I98" s="26">
        <f t="shared" si="76"/>
        <v>1.1614733247380169</v>
      </c>
      <c r="J98" s="27">
        <f t="shared" si="81"/>
        <v>0.47424772487721328</v>
      </c>
      <c r="K98" s="27">
        <f t="shared" si="82"/>
        <v>1.3406001924464757E-4</v>
      </c>
      <c r="L98" s="28">
        <f t="shared" si="83"/>
        <v>75298240556451.203</v>
      </c>
      <c r="M98" s="27">
        <f t="shared" si="77"/>
        <v>2289086966836481</v>
      </c>
      <c r="N98" s="26">
        <f t="shared" si="78"/>
        <v>10</v>
      </c>
      <c r="O98" s="12">
        <v>1000</v>
      </c>
      <c r="P98" s="30"/>
      <c r="Q98" s="27">
        <f t="shared" si="79"/>
        <v>251900630494.84009</v>
      </c>
      <c r="R98" s="27"/>
      <c r="S98" s="27"/>
      <c r="T98" s="27"/>
    </row>
    <row r="99" spans="4:20" ht="15.75">
      <c r="D99" s="26">
        <f t="shared" si="72"/>
        <v>0.83164836709329715</v>
      </c>
      <c r="E99" s="26">
        <f t="shared" si="73"/>
        <v>-8.0060260861863589E-2</v>
      </c>
      <c r="F99" s="26">
        <f t="shared" si="74"/>
        <v>-2.6830626442025776</v>
      </c>
      <c r="G99" s="27">
        <f t="shared" si="75"/>
        <v>3.1612648131857882E-3</v>
      </c>
      <c r="H99" s="26">
        <f t="shared" si="80"/>
        <v>-0.18292352159490449</v>
      </c>
      <c r="I99" s="26">
        <f t="shared" si="76"/>
        <v>1.1614733247380169</v>
      </c>
      <c r="J99" s="27">
        <f t="shared" si="81"/>
        <v>0.47424772487721328</v>
      </c>
      <c r="K99" s="27">
        <f t="shared" si="82"/>
        <v>1.2187274476786144E-4</v>
      </c>
      <c r="L99" s="28">
        <f t="shared" si="83"/>
        <v>78888524675193.109</v>
      </c>
      <c r="M99" s="27">
        <f t="shared" si="77"/>
        <v>2046294417138554</v>
      </c>
      <c r="N99" s="26">
        <f t="shared" si="78"/>
        <v>9.0909090909090917</v>
      </c>
      <c r="O99" s="12">
        <v>1100</v>
      </c>
      <c r="P99" s="30"/>
      <c r="Q99" s="27">
        <f t="shared" si="79"/>
        <v>206749132710.92474</v>
      </c>
      <c r="R99" s="27"/>
      <c r="S99" s="27"/>
      <c r="T99" s="27"/>
    </row>
    <row r="100" spans="4:20" ht="15.75">
      <c r="D100" s="2">
        <f t="shared" si="72"/>
        <v>0.840510769932729</v>
      </c>
      <c r="E100" s="2">
        <f t="shared" si="73"/>
        <v>-7.54567173317226E-2</v>
      </c>
      <c r="F100" s="2">
        <f t="shared" si="74"/>
        <v>-2.8259610278569816</v>
      </c>
      <c r="G100" s="6">
        <f t="shared" si="75"/>
        <v>2.2749009587478409E-3</v>
      </c>
      <c r="H100" s="2">
        <f t="shared" si="80"/>
        <v>-0.18292352159490449</v>
      </c>
      <c r="I100" s="2">
        <f t="shared" si="76"/>
        <v>1.1614733247380169</v>
      </c>
      <c r="J100" s="4">
        <f t="shared" si="81"/>
        <v>0.47424772487721328</v>
      </c>
      <c r="K100" s="6">
        <f>10*101325/8.314/O100/1000000</f>
        <v>1.0156062063988453E-4</v>
      </c>
      <c r="L100" s="9">
        <f t="shared" si="83"/>
        <v>82387769635664.406</v>
      </c>
      <c r="M100" s="6">
        <f t="shared" si="77"/>
        <v>1845439846196299.5</v>
      </c>
      <c r="N100" s="2">
        <f t="shared" si="78"/>
        <v>8.3333333333333339</v>
      </c>
      <c r="O100" s="12">
        <v>1200</v>
      </c>
      <c r="P100" s="13"/>
      <c r="Q100" s="6">
        <f t="shared" si="79"/>
        <v>157174348029.03653</v>
      </c>
      <c r="R100" s="6"/>
      <c r="S100" s="27"/>
    </row>
    <row r="101" spans="4:20" ht="15.75">
      <c r="D101" s="2">
        <f t="shared" si="72"/>
        <v>0.8435684279882284</v>
      </c>
      <c r="E101" s="2">
        <f t="shared" si="73"/>
        <v>-7.3879682852751594E-2</v>
      </c>
      <c r="F101" s="2">
        <f t="shared" si="74"/>
        <v>-2.8785585986980364</v>
      </c>
      <c r="G101" s="6">
        <f t="shared" si="75"/>
        <v>2.0154170250191975E-3</v>
      </c>
      <c r="H101" s="2">
        <f t="shared" si="80"/>
        <v>-0.18292352159490449</v>
      </c>
      <c r="I101" s="2">
        <f t="shared" si="76"/>
        <v>1.1614733247380169</v>
      </c>
      <c r="J101" s="4">
        <f t="shared" si="81"/>
        <v>0.47424772487721328</v>
      </c>
      <c r="K101" s="6">
        <f t="shared" si="82"/>
        <v>1.03123091726652E-4</v>
      </c>
      <c r="L101" s="9">
        <f t="shared" si="83"/>
        <v>85801817887422.609</v>
      </c>
      <c r="M101" s="6">
        <f t="shared" si="77"/>
        <v>1676893522609695.7</v>
      </c>
      <c r="N101" s="2">
        <f t="shared" si="78"/>
        <v>7.6923076923076925</v>
      </c>
      <c r="O101" s="12">
        <v>1300</v>
      </c>
      <c r="P101" s="13"/>
      <c r="Q101" s="6">
        <f t="shared" si="79"/>
        <v>145581880783.80652</v>
      </c>
      <c r="R101" s="6"/>
    </row>
    <row r="102" spans="4:20" ht="15.75">
      <c r="D102" s="2">
        <f>10^E102</f>
        <v>0.85273728488409672</v>
      </c>
      <c r="E102" s="2">
        <f>LOG(J102)/(1+(F102/(I102-0.14*F102))^2)</f>
        <v>-6.9184747611967426E-2</v>
      </c>
      <c r="F102" s="2">
        <f>LOG(G102)+H102</f>
        <v>-3.0479179868103188</v>
      </c>
      <c r="G102" s="6">
        <f>M102*K102/L102</f>
        <v>1.3646005273736384E-3</v>
      </c>
      <c r="H102" s="2">
        <f>-0.4-0.67*LOG(J102)</f>
        <v>-0.18292352159490449</v>
      </c>
      <c r="I102" s="2">
        <f>0.75-1.27*LOG(J102)</f>
        <v>1.1614733247380169</v>
      </c>
      <c r="J102" s="4">
        <f t="shared" si="81"/>
        <v>0.47424772487721328</v>
      </c>
      <c r="K102" s="6">
        <f>$P$90*101325/760/8.314/O102/1000000</f>
        <v>8.9373346163098389E-5</v>
      </c>
      <c r="L102" s="9">
        <f t="shared" si="83"/>
        <v>92396720595423.437</v>
      </c>
      <c r="M102" s="6">
        <f>$B$7*O102^$B$8*EXP(-$B$9/1.987/O102)</f>
        <v>1410763041388383.7</v>
      </c>
      <c r="N102" s="2">
        <f>10000/O102</f>
        <v>6.666666666666667</v>
      </c>
      <c r="O102" s="12">
        <v>1500</v>
      </c>
      <c r="P102" s="13"/>
      <c r="Q102" s="6">
        <f>L102/(1+L102/M102/K102)*D102</f>
        <v>107370533225.09682</v>
      </c>
      <c r="R102" s="6"/>
    </row>
    <row r="103" spans="4:20" ht="15.75">
      <c r="D103" s="2">
        <f>10^E103</f>
        <v>0.86318483028338278</v>
      </c>
      <c r="E103" s="2">
        <f>LOG(J103)/(1+(F103/(I103-0.14*F103))^2)</f>
        <v>-6.3896200602843581E-2</v>
      </c>
      <c r="F103" s="2">
        <f>LOG(G103)+H103</f>
        <v>-3.2658449293479586</v>
      </c>
      <c r="G103" s="6">
        <f>M103*K103/L103</f>
        <v>8.2618744733902144E-4</v>
      </c>
      <c r="H103" s="2">
        <f>-0.4-0.67*LOG(J103)</f>
        <v>-0.18292352159490449</v>
      </c>
      <c r="I103" s="2">
        <f>0.75-1.27*LOG(J103)</f>
        <v>1.1614733247380169</v>
      </c>
      <c r="J103" s="4">
        <f t="shared" si="81"/>
        <v>0.47424772487721328</v>
      </c>
      <c r="K103" s="6">
        <f>$P$90*101325/760/8.314/O103/1000000</f>
        <v>7.4477788469248671E-5</v>
      </c>
      <c r="L103" s="9">
        <f t="shared" si="83"/>
        <v>101779852540394.17</v>
      </c>
      <c r="M103" s="6">
        <f>$B$7*O103^$B$8*EXP(-$B$9/1.987/O103)</f>
        <v>1129051201562061.7</v>
      </c>
      <c r="N103" s="2">
        <f>10000/O103</f>
        <v>5.5555555555555554</v>
      </c>
      <c r="O103" s="12">
        <v>1800</v>
      </c>
      <c r="P103" s="13"/>
      <c r="Q103" s="6">
        <f>L103/(1+L103/M103/K103)*D103</f>
        <v>72524634446.868454</v>
      </c>
      <c r="R103" s="6"/>
    </row>
    <row r="104" spans="4:20">
      <c r="D104" s="2" t="s">
        <v>4</v>
      </c>
      <c r="E104" s="2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s="2" t="s">
        <v>14</v>
      </c>
      <c r="P104">
        <f>760*30</f>
        <v>22800</v>
      </c>
      <c r="Q104" s="6" t="s">
        <v>16</v>
      </c>
    </row>
    <row r="105" spans="4:20" ht="15.75">
      <c r="D105" s="37">
        <f t="shared" ref="D105:D115" si="84">10^E105</f>
        <v>0.6005758835790721</v>
      </c>
      <c r="E105" s="37">
        <f t="shared" ref="E105:E115" si="85">LOG(J105)/(1+(F105/(I105-0.14*F105))^2)</f>
        <v>-0.22143211109610575</v>
      </c>
      <c r="F105" s="37">
        <f t="shared" ref="F105:F115" si="86">LOG(G105)+H105</f>
        <v>-0.87371418903708653</v>
      </c>
      <c r="G105" s="20">
        <f t="shared" ref="G105:G115" si="87">M105*K105/L105</f>
        <v>0.20380241809354724</v>
      </c>
      <c r="H105" s="37">
        <f>-0.4-0.67*LOG(J105)</f>
        <v>-0.18292352159490449</v>
      </c>
      <c r="I105" s="37">
        <f t="shared" ref="I105:I115" si="88">0.75-1.27*LOG(J105)</f>
        <v>1.1614733247380169</v>
      </c>
      <c r="J105" s="20">
        <f>(1-$B$10)*EXP(-O105/$B$11)+$B$10*EXP(-O105/$B$12)+EXP(-B$13/O105)</f>
        <v>0.47424772487721328</v>
      </c>
      <c r="K105" s="20">
        <f>$P$104*101325/760/8.314/O105/1000000</f>
        <v>1.2187274476786144E-3</v>
      </c>
      <c r="L105" s="38">
        <f>B$4*O105^B$5*EXP(-B$6/1.987/O105)</f>
        <v>48271057302442.148</v>
      </c>
      <c r="M105" s="20">
        <f t="shared" ref="M105:M115" si="89">$B$7*O105^$B$8*EXP(-$B$9/1.987/O105)</f>
        <v>8072156100946505</v>
      </c>
      <c r="N105" s="37">
        <f t="shared" ref="N105:N115" si="90">10000/O105</f>
        <v>33.333333333333336</v>
      </c>
      <c r="O105" s="39">
        <v>300</v>
      </c>
      <c r="P105" s="40"/>
      <c r="Q105" s="20">
        <f t="shared" ref="Q105:Q115" si="91">L105/(1+L105/M105/K105)*D105</f>
        <v>4908048227766.8184</v>
      </c>
      <c r="R105" s="20">
        <f>0.0000000000081*6.02E+23</f>
        <v>4876200000000</v>
      </c>
      <c r="S105" s="20">
        <f>(R105-Q105)^2/Q105^2</f>
        <v>4.2106864025929152E-5</v>
      </c>
      <c r="T105" s="20"/>
    </row>
    <row r="106" spans="4:20" ht="15.75">
      <c r="D106" s="26">
        <f t="shared" si="84"/>
        <v>0.67226040393022035</v>
      </c>
      <c r="E106" s="26">
        <f t="shared" si="85"/>
        <v>-0.17246246789302613</v>
      </c>
      <c r="F106" s="26">
        <f t="shared" si="86"/>
        <v>-1.2531692412690629</v>
      </c>
      <c r="G106" s="27">
        <f t="shared" si="87"/>
        <v>8.5065660862823606E-2</v>
      </c>
      <c r="H106" s="26">
        <f t="shared" ref="H106:H115" si="92">-0.4-0.67*LOG(J106)</f>
        <v>-0.18292352159490449</v>
      </c>
      <c r="I106" s="26">
        <f t="shared" si="88"/>
        <v>1.1614733247380169</v>
      </c>
      <c r="J106" s="31">
        <f t="shared" ref="J106:J117" si="93">(1-$B$10)*EXP(-O106/$B$11)+$B$10*EXP(-O106/$B$12)+EXP(-B$13/O106)</f>
        <v>0.47424772487721328</v>
      </c>
      <c r="K106" s="27">
        <f>23.4*101325/8.314/O106/1000000</f>
        <v>7.1295555689198948E-4</v>
      </c>
      <c r="L106" s="28">
        <f t="shared" ref="L106:L117" si="94">B$4*O106^B$5*EXP(-B$6/1.987/O106)</f>
        <v>51915144096005.555</v>
      </c>
      <c r="M106" s="27">
        <f t="shared" si="89"/>
        <v>6194209440721797</v>
      </c>
      <c r="N106" s="26">
        <f t="shared" si="90"/>
        <v>25</v>
      </c>
      <c r="O106" s="29">
        <v>400</v>
      </c>
      <c r="P106" s="30"/>
      <c r="Q106" s="27">
        <f t="shared" si="91"/>
        <v>2736086710373.8115</v>
      </c>
      <c r="R106" s="27"/>
      <c r="S106" s="20"/>
      <c r="T106" s="27"/>
    </row>
    <row r="107" spans="4:20" ht="15.75">
      <c r="D107" s="26">
        <f t="shared" si="84"/>
        <v>0.70381379860198856</v>
      </c>
      <c r="E107" s="26">
        <f t="shared" si="85"/>
        <v>-0.1525422228688908</v>
      </c>
      <c r="F107" s="26">
        <f t="shared" si="86"/>
        <v>-1.4459819427632492</v>
      </c>
      <c r="G107" s="27">
        <f t="shared" si="87"/>
        <v>5.4568445083900595E-2</v>
      </c>
      <c r="H107" s="26">
        <f t="shared" si="92"/>
        <v>-0.18292352159490449</v>
      </c>
      <c r="I107" s="26">
        <f t="shared" si="88"/>
        <v>1.1614733247380169</v>
      </c>
      <c r="J107" s="31">
        <f t="shared" si="93"/>
        <v>0.47424772487721328</v>
      </c>
      <c r="K107" s="27">
        <f>25.3*101325/8.314/O107/1000000</f>
        <v>6.166760885253789E-4</v>
      </c>
      <c r="L107" s="28">
        <f t="shared" si="94"/>
        <v>55914419404048.281</v>
      </c>
      <c r="M107" s="27">
        <f t="shared" si="89"/>
        <v>4947756174467637</v>
      </c>
      <c r="N107" s="26">
        <f t="shared" si="90"/>
        <v>20</v>
      </c>
      <c r="O107" s="39">
        <v>500</v>
      </c>
      <c r="P107" s="30"/>
      <c r="Q107" s="27">
        <f t="shared" si="91"/>
        <v>2036331143948.8486</v>
      </c>
      <c r="R107" s="27"/>
      <c r="S107" s="20"/>
      <c r="T107" s="27"/>
    </row>
    <row r="108" spans="4:20" ht="15.75">
      <c r="D108" s="26">
        <f t="shared" si="84"/>
        <v>0.734633315325387</v>
      </c>
      <c r="E108" s="26">
        <f t="shared" si="85"/>
        <v>-0.1339293804640446</v>
      </c>
      <c r="F108" s="26">
        <f t="shared" si="86"/>
        <v>-1.6605908446673701</v>
      </c>
      <c r="G108" s="27">
        <f t="shared" si="87"/>
        <v>3.3291447376936109E-2</v>
      </c>
      <c r="H108" s="26">
        <f t="shared" si="92"/>
        <v>-0.18292352159490449</v>
      </c>
      <c r="I108" s="26">
        <f t="shared" si="88"/>
        <v>1.1614733247380169</v>
      </c>
      <c r="J108" s="31">
        <f t="shared" si="93"/>
        <v>0.47424772487721328</v>
      </c>
      <c r="K108" s="27">
        <f>24.1*101325/8.314/O108/1000000</f>
        <v>4.8952219148424344E-4</v>
      </c>
      <c r="L108" s="28">
        <f t="shared" si="94"/>
        <v>59954213423504.078</v>
      </c>
      <c r="M108" s="27">
        <f t="shared" si="89"/>
        <v>4077368862813705</v>
      </c>
      <c r="N108" s="26">
        <f t="shared" si="90"/>
        <v>16.666666666666668</v>
      </c>
      <c r="O108" s="29">
        <v>600</v>
      </c>
      <c r="P108" s="30"/>
      <c r="Q108" s="27">
        <f t="shared" si="91"/>
        <v>1419058081473.2759</v>
      </c>
      <c r="R108" s="27"/>
      <c r="S108" s="20"/>
      <c r="T108" s="27"/>
    </row>
    <row r="109" spans="4:20" ht="15.75">
      <c r="D109" s="26">
        <f t="shared" si="84"/>
        <v>0.7502646979346288</v>
      </c>
      <c r="E109" s="26">
        <f t="shared" si="85"/>
        <v>-0.12478548784662268</v>
      </c>
      <c r="F109" s="26">
        <f t="shared" si="86"/>
        <v>-1.782885834433027</v>
      </c>
      <c r="G109" s="27">
        <f t="shared" si="87"/>
        <v>2.5121044171899847E-2</v>
      </c>
      <c r="H109" s="26">
        <f t="shared" si="92"/>
        <v>-0.18292352159490449</v>
      </c>
      <c r="I109" s="26">
        <f t="shared" si="88"/>
        <v>1.1614733247380169</v>
      </c>
      <c r="J109" s="31">
        <f t="shared" si="93"/>
        <v>0.47424772487721328</v>
      </c>
      <c r="K109" s="27">
        <f>26.8*101325/8.314/O109/1000000</f>
        <v>4.6659850853981229E-4</v>
      </c>
      <c r="L109" s="28">
        <f t="shared" si="94"/>
        <v>63935043186733.742</v>
      </c>
      <c r="M109" s="27">
        <f t="shared" si="89"/>
        <v>3442177835185304</v>
      </c>
      <c r="N109" s="26">
        <f t="shared" si="90"/>
        <v>14.285714285714286</v>
      </c>
      <c r="O109" s="39">
        <v>700</v>
      </c>
      <c r="P109" s="30"/>
      <c r="Q109" s="27">
        <f t="shared" si="91"/>
        <v>1175482081072.7222</v>
      </c>
      <c r="R109" s="27"/>
      <c r="S109" s="20"/>
      <c r="T109" s="27"/>
    </row>
    <row r="110" spans="4:20" ht="15.75">
      <c r="D110" s="26">
        <f t="shared" si="84"/>
        <v>0.77159761695783402</v>
      </c>
      <c r="E110" s="26">
        <f t="shared" si="85"/>
        <v>-0.11260912232372204</v>
      </c>
      <c r="F110" s="26">
        <f t="shared" si="86"/>
        <v>-1.9690127836259426</v>
      </c>
      <c r="G110" s="27">
        <f t="shared" si="87"/>
        <v>1.6364801354973701E-2</v>
      </c>
      <c r="H110" s="26">
        <f t="shared" si="92"/>
        <v>-0.18292352159490449</v>
      </c>
      <c r="I110" s="26">
        <f t="shared" si="88"/>
        <v>1.1614733247380169</v>
      </c>
      <c r="J110" s="31">
        <f t="shared" si="93"/>
        <v>0.47424772487721328</v>
      </c>
      <c r="K110" s="27">
        <f>24.6*101325/8.314/O110/1000000</f>
        <v>3.7475869016117397E-4</v>
      </c>
      <c r="L110" s="28">
        <f t="shared" si="94"/>
        <v>67823786331033.422</v>
      </c>
      <c r="M110" s="27">
        <f t="shared" si="89"/>
        <v>2961699940759728.5</v>
      </c>
      <c r="N110" s="26">
        <f t="shared" si="90"/>
        <v>12.5</v>
      </c>
      <c r="O110" s="29">
        <v>800</v>
      </c>
      <c r="P110" s="30"/>
      <c r="Q110" s="27">
        <f t="shared" si="91"/>
        <v>842624399208.16077</v>
      </c>
      <c r="R110" s="27"/>
      <c r="S110" s="20"/>
      <c r="T110" s="27"/>
    </row>
    <row r="111" spans="4:20" ht="15.75">
      <c r="D111" s="26">
        <f t="shared" si="84"/>
        <v>0.76254359458288312</v>
      </c>
      <c r="E111" s="26">
        <f t="shared" si="85"/>
        <v>-0.11773532267549712</v>
      </c>
      <c r="F111" s="26">
        <f t="shared" si="86"/>
        <v>-1.8869762097377518</v>
      </c>
      <c r="G111" s="27">
        <f t="shared" si="87"/>
        <v>1.9767298108141484E-2</v>
      </c>
      <c r="H111" s="26">
        <f t="shared" si="92"/>
        <v>-0.18292352159490449</v>
      </c>
      <c r="I111" s="26">
        <f t="shared" si="88"/>
        <v>1.1614733247380169</v>
      </c>
      <c r="J111" s="31">
        <f t="shared" si="93"/>
        <v>0.47424772487721328</v>
      </c>
      <c r="K111" s="27">
        <f>40.4*101325/8.314/O111/1000000</f>
        <v>5.4707320984684468E-4</v>
      </c>
      <c r="L111" s="28">
        <f t="shared" si="94"/>
        <v>71611384152110.969</v>
      </c>
      <c r="M111" s="27">
        <f t="shared" si="89"/>
        <v>2587521291469763</v>
      </c>
      <c r="N111" s="26">
        <f t="shared" si="90"/>
        <v>11.111111111111111</v>
      </c>
      <c r="O111" s="39">
        <v>900</v>
      </c>
      <c r="P111" s="30"/>
      <c r="Q111" s="27">
        <f t="shared" si="91"/>
        <v>1058505152587.9923</v>
      </c>
      <c r="R111" s="27"/>
      <c r="S111" s="20"/>
      <c r="T111" s="27"/>
    </row>
    <row r="112" spans="4:20" ht="15.75">
      <c r="D112" s="26">
        <f t="shared" si="84"/>
        <v>0.78304099762773627</v>
      </c>
      <c r="E112" s="26">
        <f t="shared" si="85"/>
        <v>-0.10621549901819956</v>
      </c>
      <c r="F112" s="26">
        <f t="shared" si="86"/>
        <v>-2.0801133590718242</v>
      </c>
      <c r="G112" s="27">
        <f t="shared" si="87"/>
        <v>1.2670978748358722E-2</v>
      </c>
      <c r="H112" s="26">
        <f t="shared" si="92"/>
        <v>-0.18292352159490449</v>
      </c>
      <c r="I112" s="26">
        <f t="shared" si="88"/>
        <v>1.1614733247380169</v>
      </c>
      <c r="J112" s="31">
        <f t="shared" si="93"/>
        <v>0.47424772487721328</v>
      </c>
      <c r="K112" s="27">
        <f>34.2*101325/8.314/O112/1000000</f>
        <v>4.1680478710608615E-4</v>
      </c>
      <c r="L112" s="28">
        <f t="shared" si="94"/>
        <v>75298240556451.203</v>
      </c>
      <c r="M112" s="27">
        <f t="shared" si="89"/>
        <v>2289086966836481</v>
      </c>
      <c r="N112" s="26">
        <f t="shared" si="90"/>
        <v>10</v>
      </c>
      <c r="O112" s="29">
        <v>1000</v>
      </c>
      <c r="P112" s="30"/>
      <c r="Q112" s="27">
        <f t="shared" si="91"/>
        <v>737753244061.94055</v>
      </c>
      <c r="R112" s="27"/>
      <c r="S112" s="20"/>
      <c r="T112" s="27"/>
    </row>
    <row r="113" spans="4:20" ht="15.75">
      <c r="D113" s="26">
        <f t="shared" si="84"/>
        <v>0.80342219913038337</v>
      </c>
      <c r="E113" s="26">
        <f t="shared" si="85"/>
        <v>-9.5056172571195793E-2</v>
      </c>
      <c r="F113" s="26">
        <f t="shared" si="86"/>
        <v>-2.3028514024909716</v>
      </c>
      <c r="G113" s="27">
        <f t="shared" si="87"/>
        <v>7.5870355516458911E-3</v>
      </c>
      <c r="H113" s="26">
        <f t="shared" si="92"/>
        <v>-0.18292352159490449</v>
      </c>
      <c r="I113" s="26">
        <f t="shared" si="88"/>
        <v>1.1614733247380169</v>
      </c>
      <c r="J113" s="31">
        <f t="shared" si="93"/>
        <v>0.47424772487721328</v>
      </c>
      <c r="K113" s="27">
        <f>26.4*101325/8.314/O113/1000000</f>
        <v>2.9249458744286743E-4</v>
      </c>
      <c r="L113" s="28">
        <f t="shared" si="94"/>
        <v>78888524675193.109</v>
      </c>
      <c r="M113" s="27">
        <f t="shared" si="89"/>
        <v>2046294417138554</v>
      </c>
      <c r="N113" s="26">
        <f t="shared" si="90"/>
        <v>9.0909090909090917</v>
      </c>
      <c r="O113" s="39">
        <v>1100</v>
      </c>
      <c r="P113" s="30"/>
      <c r="Q113" s="27">
        <f t="shared" si="91"/>
        <v>477251398719.84674</v>
      </c>
      <c r="R113" s="27"/>
      <c r="S113" s="20"/>
      <c r="T113" s="27"/>
    </row>
    <row r="114" spans="4:20" ht="15.75">
      <c r="D114" s="26">
        <f t="shared" si="84"/>
        <v>0.80358861779649216</v>
      </c>
      <c r="E114" s="26">
        <f t="shared" si="85"/>
        <v>-9.4966223321478402E-2</v>
      </c>
      <c r="F114" s="26">
        <f t="shared" si="86"/>
        <v>-2.3048229441529453</v>
      </c>
      <c r="G114" s="27">
        <f t="shared" si="87"/>
        <v>7.5526711830428339E-3</v>
      </c>
      <c r="H114" s="26">
        <f t="shared" si="92"/>
        <v>-0.18292352159490449</v>
      </c>
      <c r="I114" s="26">
        <f t="shared" si="88"/>
        <v>1.1614733247380169</v>
      </c>
      <c r="J114" s="31">
        <f t="shared" si="93"/>
        <v>0.47424772487721328</v>
      </c>
      <c r="K114" s="27">
        <f>33.2*101325/8.314/O114/1000000</f>
        <v>3.3718126052441669E-4</v>
      </c>
      <c r="L114" s="28">
        <f t="shared" si="94"/>
        <v>82387769635664.406</v>
      </c>
      <c r="M114" s="27">
        <f t="shared" si="89"/>
        <v>1845439846196299.5</v>
      </c>
      <c r="N114" s="26">
        <f t="shared" si="90"/>
        <v>8.3333333333333339</v>
      </c>
      <c r="O114" s="29">
        <v>1200</v>
      </c>
      <c r="P114" s="30"/>
      <c r="Q114" s="27">
        <f t="shared" si="91"/>
        <v>496282934323.74939</v>
      </c>
      <c r="R114" s="27"/>
      <c r="S114" s="20"/>
      <c r="T114" s="27"/>
    </row>
    <row r="115" spans="4:20" ht="15.75">
      <c r="D115" s="26">
        <f t="shared" si="84"/>
        <v>0.80874328891436564</v>
      </c>
      <c r="E115" s="26">
        <f t="shared" si="85"/>
        <v>-9.2189310155764259E-2</v>
      </c>
      <c r="F115" s="26">
        <f t="shared" si="86"/>
        <v>-2.3672830677440682</v>
      </c>
      <c r="G115" s="27">
        <f t="shared" si="87"/>
        <v>6.5409443448350311E-3</v>
      </c>
      <c r="H115" s="26">
        <f t="shared" si="92"/>
        <v>-0.18292352159490449</v>
      </c>
      <c r="I115" s="26">
        <f t="shared" si="88"/>
        <v>1.1614733247380169</v>
      </c>
      <c r="J115" s="31">
        <f t="shared" si="93"/>
        <v>0.47424772487721328</v>
      </c>
      <c r="K115" s="27">
        <f>35.7*101325/8.314/O115/1000000</f>
        <v>3.3468130678558872E-4</v>
      </c>
      <c r="L115" s="28">
        <f t="shared" si="94"/>
        <v>85801817887422.609</v>
      </c>
      <c r="M115" s="27">
        <f t="shared" si="89"/>
        <v>1676893522609695.7</v>
      </c>
      <c r="N115" s="26">
        <f t="shared" si="90"/>
        <v>7.6923076923076925</v>
      </c>
      <c r="O115" s="39">
        <v>1300</v>
      </c>
      <c r="P115" s="30"/>
      <c r="Q115" s="27">
        <f t="shared" si="91"/>
        <v>450937328006.38916</v>
      </c>
      <c r="R115" s="27"/>
      <c r="S115" s="20"/>
      <c r="T115" s="27"/>
    </row>
    <row r="116" spans="4:20" ht="15.75">
      <c r="D116" s="26">
        <f>10^E116</f>
        <v>0.81845459445510993</v>
      </c>
      <c r="E116" s="26">
        <f>LOG(J116)/(1+(F116/(I116-0.14*F116))^2)</f>
        <v>-8.7005409012664181E-2</v>
      </c>
      <c r="F116" s="26">
        <f>LOG(G116)+H116</f>
        <v>-2.492908973149023</v>
      </c>
      <c r="G116" s="27">
        <f>M116*K116/L116</f>
        <v>4.8979522676088289E-3</v>
      </c>
      <c r="H116" s="26">
        <f>-0.4-0.67*LOG(J116)</f>
        <v>-0.18292352159490449</v>
      </c>
      <c r="I116" s="26">
        <f>0.75-1.27*LOG(J116)</f>
        <v>1.1614733247380169</v>
      </c>
      <c r="J116" s="31">
        <f t="shared" si="93"/>
        <v>0.47424772487721328</v>
      </c>
      <c r="K116" s="27">
        <f>32.7*101325/8.314/O116/1000000</f>
        <v>2.8465991099350496E-4</v>
      </c>
      <c r="L116" s="28">
        <f t="shared" si="94"/>
        <v>89136356113059.453</v>
      </c>
      <c r="M116" s="27">
        <f>$B$7*O116^$B$8*EXP(-$B$9/1.987/O116)</f>
        <v>1533709527367586.2</v>
      </c>
      <c r="N116" s="26">
        <f>10000/O116</f>
        <v>7.1428571428571432</v>
      </c>
      <c r="O116" s="29">
        <v>1400</v>
      </c>
      <c r="P116" s="30"/>
      <c r="Q116" s="27">
        <f>L116/(1+L116/M116/K116)*D116</f>
        <v>355583871726.25677</v>
      </c>
      <c r="R116" s="27"/>
      <c r="S116" s="20"/>
      <c r="T116" s="27"/>
    </row>
    <row r="117" spans="4:20" ht="15.75">
      <c r="D117" s="26">
        <f>10^E117</f>
        <v>0.81926105982377906</v>
      </c>
      <c r="E117" s="26">
        <f>LOG(J117)/(1+(F117/(I117-0.14*F117))^2)</f>
        <v>-8.6577687036808099E-2</v>
      </c>
      <c r="F117" s="26">
        <f>LOG(G117)+H117</f>
        <v>-2.5038499424600431</v>
      </c>
      <c r="G117" s="27">
        <f>M117*K117/L117</f>
        <v>4.7761018458077334E-3</v>
      </c>
      <c r="H117" s="26">
        <f>-0.4-0.67*LOG(J117)</f>
        <v>-0.18292352159490449</v>
      </c>
      <c r="I117" s="26">
        <f>0.75-1.27*LOG(J117)</f>
        <v>1.1614733247380169</v>
      </c>
      <c r="J117" s="31">
        <f t="shared" si="93"/>
        <v>0.47424772487721328</v>
      </c>
      <c r="K117" s="27">
        <f>38.5*101325/8.314/O117/1000000</f>
        <v>3.1280671157084435E-4</v>
      </c>
      <c r="L117" s="28">
        <f t="shared" si="94"/>
        <v>92396720595423.437</v>
      </c>
      <c r="M117" s="27">
        <f>$B$7*O117^$B$8*EXP(-$B$9/1.987/O117)</f>
        <v>1410763041388383.7</v>
      </c>
      <c r="N117" s="26">
        <f>10000/O117</f>
        <v>6.666666666666667</v>
      </c>
      <c r="O117" s="39">
        <v>1500</v>
      </c>
      <c r="P117" s="30"/>
      <c r="Q117" s="27">
        <f>L117/(1+L117/M117/K117)*D117</f>
        <v>359818221257.64246</v>
      </c>
      <c r="R117" s="27"/>
      <c r="S117" s="20"/>
      <c r="T117" s="27"/>
    </row>
    <row r="118" spans="4:20">
      <c r="D118" s="2" t="s">
        <v>4</v>
      </c>
      <c r="E118" s="2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P118">
        <f>760*40</f>
        <v>30400</v>
      </c>
      <c r="Q118" t="s">
        <v>16</v>
      </c>
    </row>
    <row r="119" spans="4:20" ht="15.75">
      <c r="D119" s="2">
        <f t="shared" ref="D119:D131" si="95">10^E119</f>
        <v>0.57536171769133226</v>
      </c>
      <c r="E119" s="2">
        <f t="shared" ref="E119:E129" si="96">LOG(J119)/(1+(F119/(I119-0.14*F119))^2)</f>
        <v>-0.24005903773332604</v>
      </c>
      <c r="F119" s="2">
        <f t="shared" ref="F119:F129" si="97">LOG(G119)+H119</f>
        <v>-0.74877545242878663</v>
      </c>
      <c r="G119" s="6">
        <f t="shared" ref="G119:G129" si="98">M119*K119/L119</f>
        <v>0.27173655745806297</v>
      </c>
      <c r="H119" s="2">
        <f>-0.4-0.67*LOG(J119)</f>
        <v>-0.18292352159490449</v>
      </c>
      <c r="I119" s="2">
        <f t="shared" ref="I119:I129" si="99">0.75-1.27*LOG(J119)</f>
        <v>1.1614733247380169</v>
      </c>
      <c r="J119" s="4">
        <f>(1-$B$10)*EXP(-O119/$B$11)+$B$10*EXP(-O119/$B$12)+EXP(-B$13/O119)</f>
        <v>0.47424772487721328</v>
      </c>
      <c r="K119" s="6">
        <f>$P$118*101325/760/8.314/O119/1000000</f>
        <v>1.6249699302381525E-3</v>
      </c>
      <c r="L119" s="9">
        <f>B$4*O119^B$5*EXP(-B$6/1.987/O119)</f>
        <v>48271057302442.148</v>
      </c>
      <c r="M119" s="6">
        <f t="shared" ref="M119:M129" si="100">$B$7*O119^$B$8*EXP(-$B$9/1.987/O119)</f>
        <v>8072156100946505</v>
      </c>
      <c r="N119" s="2">
        <f t="shared" ref="N119:N129" si="101">10000/O119</f>
        <v>33.333333333333336</v>
      </c>
      <c r="O119" s="12">
        <v>300</v>
      </c>
      <c r="P119" s="13"/>
      <c r="Q119" s="6">
        <f t="shared" ref="Q119:Q129" si="102">L119/(1+L119/M119/K119)*D119</f>
        <v>5934425568710.7217</v>
      </c>
      <c r="R119" s="6"/>
      <c r="S119" s="6"/>
      <c r="T119" s="6"/>
    </row>
    <row r="120" spans="4:20" ht="15.75">
      <c r="D120" s="37">
        <f t="shared" si="95"/>
        <v>0.62951105150053888</v>
      </c>
      <c r="E120" s="37">
        <f t="shared" si="96"/>
        <v>-0.20099664115012919</v>
      </c>
      <c r="F120" s="37">
        <f t="shared" si="97"/>
        <v>-1.0203251073512434</v>
      </c>
      <c r="G120" s="20">
        <f t="shared" si="98"/>
        <v>0.14541138609029675</v>
      </c>
      <c r="H120" s="37">
        <f t="shared" ref="H120:H129" si="103">-0.4-0.67*LOG(J120)</f>
        <v>-0.18292352159490449</v>
      </c>
      <c r="I120" s="37">
        <f t="shared" si="99"/>
        <v>1.1614733247380169</v>
      </c>
      <c r="J120" s="20">
        <f t="shared" ref="J120:J131" si="104">(1-$B$10)*EXP(-O120/$B$11)+$B$10*EXP(-O120/$B$12)+EXP(-B$13/O120)</f>
        <v>0.47424772487721328</v>
      </c>
      <c r="K120" s="20">
        <f>$P$118*101325/760/8.314/O120/1000000</f>
        <v>1.2187274476786144E-3</v>
      </c>
      <c r="L120" s="38">
        <f t="shared" ref="L120:L131" si="105">B$4*O120^B$5*EXP(-B$6/1.987/O120)</f>
        <v>51915144096005.555</v>
      </c>
      <c r="M120" s="20">
        <f t="shared" si="100"/>
        <v>6194209440721797</v>
      </c>
      <c r="N120" s="37">
        <f t="shared" si="101"/>
        <v>25</v>
      </c>
      <c r="O120" s="39">
        <v>400</v>
      </c>
      <c r="P120" s="40"/>
      <c r="Q120" s="20">
        <f t="shared" si="102"/>
        <v>4148913122963.519</v>
      </c>
      <c r="R120" s="20">
        <f>0.0000000000066*6.02E+23</f>
        <v>3973200000000</v>
      </c>
      <c r="S120" s="20">
        <f t="shared" ref="S120" si="106">(R120-Q120)^2/Q120^2</f>
        <v>1.7936583072580882E-3</v>
      </c>
      <c r="T120" s="20"/>
    </row>
    <row r="121" spans="4:20" ht="15.75">
      <c r="D121" s="26">
        <f t="shared" si="95"/>
        <v>0.67368056168855261</v>
      </c>
      <c r="E121" s="26">
        <f t="shared" si="96"/>
        <v>-0.17154598355601924</v>
      </c>
      <c r="F121" s="26">
        <f t="shared" si="97"/>
        <v>-1.2613914989201558</v>
      </c>
      <c r="G121" s="27">
        <f t="shared" si="98"/>
        <v>8.3470309278535701E-2</v>
      </c>
      <c r="H121" s="26">
        <f t="shared" si="103"/>
        <v>-0.18292352159490449</v>
      </c>
      <c r="I121" s="26">
        <f t="shared" si="99"/>
        <v>1.1614733247380169</v>
      </c>
      <c r="J121" s="31">
        <f t="shared" si="104"/>
        <v>0.47424772487721328</v>
      </c>
      <c r="K121" s="27">
        <f>38.7*101325/8.314/O121/1000000</f>
        <v>9.4329504450324758E-4</v>
      </c>
      <c r="L121" s="28">
        <f t="shared" si="105"/>
        <v>55914419404048.281</v>
      </c>
      <c r="M121" s="27">
        <f t="shared" si="100"/>
        <v>4947756174467637</v>
      </c>
      <c r="N121" s="26">
        <f t="shared" si="101"/>
        <v>20</v>
      </c>
      <c r="O121" s="12">
        <v>500</v>
      </c>
      <c r="P121" s="30"/>
      <c r="Q121" s="27">
        <f t="shared" si="102"/>
        <v>2901969503170.5405</v>
      </c>
      <c r="R121" s="27"/>
      <c r="S121" s="20"/>
      <c r="T121" s="27"/>
    </row>
    <row r="122" spans="4:20" ht="15.75">
      <c r="D122" s="26">
        <f t="shared" si="95"/>
        <v>0.71808849074898784</v>
      </c>
      <c r="E122" s="26">
        <f t="shared" si="96"/>
        <v>-0.14382203392491408</v>
      </c>
      <c r="F122" s="26">
        <f t="shared" si="97"/>
        <v>-1.541548625024487</v>
      </c>
      <c r="G122" s="27">
        <f t="shared" si="98"/>
        <v>4.3789995097463681E-2</v>
      </c>
      <c r="H122" s="26">
        <f t="shared" si="103"/>
        <v>-0.18292352159490449</v>
      </c>
      <c r="I122" s="26">
        <f t="shared" si="99"/>
        <v>1.1614733247380169</v>
      </c>
      <c r="J122" s="31">
        <f t="shared" si="104"/>
        <v>0.47424772487721328</v>
      </c>
      <c r="K122" s="27">
        <f>31.7*101325/8.314/O122/1000000</f>
        <v>6.4389433485686793E-4</v>
      </c>
      <c r="L122" s="28">
        <f t="shared" si="105"/>
        <v>59954213423504.078</v>
      </c>
      <c r="M122" s="27">
        <f t="shared" si="100"/>
        <v>4077368862813705</v>
      </c>
      <c r="N122" s="26">
        <f t="shared" si="101"/>
        <v>16.666666666666668</v>
      </c>
      <c r="O122" s="39">
        <v>600</v>
      </c>
      <c r="P122" s="30"/>
      <c r="Q122" s="27">
        <f t="shared" si="102"/>
        <v>1806173401866.7778</v>
      </c>
      <c r="R122" s="27"/>
      <c r="S122" s="20"/>
      <c r="T122" s="27"/>
    </row>
    <row r="123" spans="4:20" ht="15.75">
      <c r="D123" s="26">
        <f t="shared" si="95"/>
        <v>0.69370623927455977</v>
      </c>
      <c r="E123" s="26">
        <f t="shared" si="96"/>
        <v>-0.15882439938784459</v>
      </c>
      <c r="F123" s="26">
        <f t="shared" si="97"/>
        <v>-1.3817168556307908</v>
      </c>
      <c r="G123" s="27">
        <f t="shared" si="98"/>
        <v>6.327128662698657E-2</v>
      </c>
      <c r="H123" s="26">
        <f t="shared" si="103"/>
        <v>-0.18292352159490449</v>
      </c>
      <c r="I123" s="26">
        <f t="shared" si="99"/>
        <v>1.1614733247380169</v>
      </c>
      <c r="J123" s="31">
        <f t="shared" si="104"/>
        <v>0.47424772487721328</v>
      </c>
      <c r="K123" s="27">
        <f>67.5*101325/8.314/O123/1000000</f>
        <v>1.1752014674043783E-3</v>
      </c>
      <c r="L123" s="28">
        <f t="shared" si="105"/>
        <v>63935043186733.742</v>
      </c>
      <c r="M123" s="27">
        <f t="shared" si="100"/>
        <v>3442177835185304</v>
      </c>
      <c r="N123" s="26">
        <f t="shared" si="101"/>
        <v>14.285714285714286</v>
      </c>
      <c r="O123" s="12">
        <v>700</v>
      </c>
      <c r="P123" s="30"/>
      <c r="Q123" s="27">
        <f t="shared" si="102"/>
        <v>2639229418143.77</v>
      </c>
      <c r="R123" s="27"/>
      <c r="S123" s="20"/>
      <c r="T123" s="27"/>
    </row>
    <row r="124" spans="4:20" ht="15.75">
      <c r="D124" s="26">
        <f t="shared" si="95"/>
        <v>0.71087146955920433</v>
      </c>
      <c r="E124" s="26">
        <f t="shared" si="96"/>
        <v>-0.14820891559543078</v>
      </c>
      <c r="F124" s="26">
        <f t="shared" si="97"/>
        <v>-1.4924804028702703</v>
      </c>
      <c r="G124" s="27">
        <f t="shared" si="98"/>
        <v>4.9027880482177301E-2</v>
      </c>
      <c r="H124" s="26">
        <f t="shared" si="103"/>
        <v>-0.18292352159490449</v>
      </c>
      <c r="I124" s="26">
        <f t="shared" si="99"/>
        <v>1.1614733247380169</v>
      </c>
      <c r="J124" s="31">
        <f t="shared" si="104"/>
        <v>0.47424772487721328</v>
      </c>
      <c r="K124" s="27">
        <f>73.7*101325/8.314/O124/1000000</f>
        <v>1.1227526611739236E-3</v>
      </c>
      <c r="L124" s="28">
        <f t="shared" si="105"/>
        <v>67823786331033.422</v>
      </c>
      <c r="M124" s="27">
        <f t="shared" si="100"/>
        <v>2961699940759728.5</v>
      </c>
      <c r="N124" s="26">
        <f t="shared" si="101"/>
        <v>12.5</v>
      </c>
      <c r="O124" s="39">
        <v>800</v>
      </c>
      <c r="P124" s="30"/>
      <c r="Q124" s="27">
        <f t="shared" si="102"/>
        <v>2253352853389.0386</v>
      </c>
      <c r="R124" s="27"/>
      <c r="S124" s="20"/>
      <c r="T124" s="27"/>
    </row>
    <row r="125" spans="4:20" ht="15.75">
      <c r="D125" s="26">
        <f t="shared" si="95"/>
        <v>0.73621501168426473</v>
      </c>
      <c r="E125" s="26">
        <f t="shared" si="96"/>
        <v>-0.13299533138110375</v>
      </c>
      <c r="F125" s="26">
        <f t="shared" si="97"/>
        <v>-1.6724995854086571</v>
      </c>
      <c r="G125" s="27">
        <f t="shared" si="98"/>
        <v>3.2390968682152625E-2</v>
      </c>
      <c r="H125" s="26">
        <f t="shared" si="103"/>
        <v>-0.18292352159490449</v>
      </c>
      <c r="I125" s="26">
        <f t="shared" si="99"/>
        <v>1.1614733247380169</v>
      </c>
      <c r="J125" s="31">
        <f t="shared" si="104"/>
        <v>0.47424772487721328</v>
      </c>
      <c r="K125" s="27">
        <f>66.2*101325/8.314/O125/1000000</f>
        <v>8.9644174484804749E-4</v>
      </c>
      <c r="L125" s="28">
        <f t="shared" si="105"/>
        <v>71611384152110.969</v>
      </c>
      <c r="M125" s="27">
        <f t="shared" si="100"/>
        <v>2587521291469763</v>
      </c>
      <c r="N125" s="26">
        <f t="shared" si="101"/>
        <v>11.111111111111111</v>
      </c>
      <c r="O125" s="12">
        <v>900</v>
      </c>
      <c r="P125" s="30"/>
      <c r="Q125" s="27">
        <f t="shared" si="102"/>
        <v>1654117956623.0825</v>
      </c>
      <c r="R125" s="27"/>
      <c r="S125" s="20"/>
      <c r="T125" s="27"/>
    </row>
    <row r="126" spans="4:20" ht="15.75">
      <c r="D126" s="26">
        <f t="shared" si="95"/>
        <v>0.7508183510659715</v>
      </c>
      <c r="E126" s="26">
        <f t="shared" si="96"/>
        <v>-0.12446512114753275</v>
      </c>
      <c r="F126" s="26">
        <f t="shared" si="97"/>
        <v>-1.7874169449589672</v>
      </c>
      <c r="G126" s="27">
        <f t="shared" si="98"/>
        <v>2.4860312105697953E-2</v>
      </c>
      <c r="H126" s="26">
        <f t="shared" si="103"/>
        <v>-0.18292352159490449</v>
      </c>
      <c r="I126" s="26">
        <f t="shared" si="99"/>
        <v>1.1614733247380169</v>
      </c>
      <c r="J126" s="31">
        <f t="shared" si="104"/>
        <v>0.47424772487721328</v>
      </c>
      <c r="K126" s="27">
        <f>67.1*101325/8.314/O126/1000000</f>
        <v>8.1776611739235012E-4</v>
      </c>
      <c r="L126" s="28">
        <f t="shared" si="105"/>
        <v>75298240556451.203</v>
      </c>
      <c r="M126" s="27">
        <f t="shared" si="100"/>
        <v>2289086966836481</v>
      </c>
      <c r="N126" s="26">
        <f t="shared" si="101"/>
        <v>10</v>
      </c>
      <c r="O126" s="39">
        <v>1000</v>
      </c>
      <c r="P126" s="30"/>
      <c r="Q126" s="27">
        <f t="shared" si="102"/>
        <v>1371391990296.7883</v>
      </c>
      <c r="R126" s="27"/>
      <c r="S126" s="20"/>
      <c r="T126" s="27"/>
    </row>
    <row r="127" spans="4:20" ht="15.75">
      <c r="D127" s="26">
        <f t="shared" si="95"/>
        <v>0.74717263374062781</v>
      </c>
      <c r="E127" s="26">
        <f t="shared" si="96"/>
        <v>-0.1265790431391593</v>
      </c>
      <c r="F127" s="26">
        <f t="shared" si="97"/>
        <v>-1.7578443426788688</v>
      </c>
      <c r="G127" s="27">
        <f t="shared" si="98"/>
        <v>2.661210197281854E-2</v>
      </c>
      <c r="H127" s="26">
        <f t="shared" si="103"/>
        <v>-0.18292352159490449</v>
      </c>
      <c r="I127" s="26">
        <f t="shared" si="99"/>
        <v>1.1614733247380169</v>
      </c>
      <c r="J127" s="31">
        <f t="shared" si="104"/>
        <v>0.47424772487721328</v>
      </c>
      <c r="K127" s="27">
        <f>92.6*101325/8.314/O127/1000000</f>
        <v>1.0259469241367244E-3</v>
      </c>
      <c r="L127" s="28">
        <f t="shared" si="105"/>
        <v>78888524675193.109</v>
      </c>
      <c r="M127" s="27">
        <f t="shared" si="100"/>
        <v>2046294417138554</v>
      </c>
      <c r="N127" s="26">
        <f t="shared" si="101"/>
        <v>9.0909090909090917</v>
      </c>
      <c r="O127" s="12">
        <v>1100</v>
      </c>
      <c r="P127" s="30"/>
      <c r="Q127" s="27">
        <f t="shared" si="102"/>
        <v>1527944538553.9126</v>
      </c>
      <c r="R127" s="27"/>
      <c r="S127" s="20"/>
      <c r="T127" s="27"/>
    </row>
    <row r="128" spans="4:20" ht="15.75">
      <c r="D128" s="26">
        <f t="shared" si="95"/>
        <v>0.75959077888288529</v>
      </c>
      <c r="E128" s="26">
        <f t="shared" si="96"/>
        <v>-0.11942031605796291</v>
      </c>
      <c r="F128" s="26">
        <f t="shared" si="97"/>
        <v>-1.8612301068033525</v>
      </c>
      <c r="G128" s="27">
        <f t="shared" si="98"/>
        <v>2.0974586839655095E-2</v>
      </c>
      <c r="H128" s="26">
        <f t="shared" si="103"/>
        <v>-0.18292352159490449</v>
      </c>
      <c r="I128" s="26">
        <f t="shared" si="99"/>
        <v>1.1614733247380169</v>
      </c>
      <c r="J128" s="31">
        <f t="shared" si="104"/>
        <v>0.47424772487721328</v>
      </c>
      <c r="K128" s="27">
        <f>92.2*101325/8.314/O128/1000000</f>
        <v>9.363889222997353E-4</v>
      </c>
      <c r="L128" s="28">
        <f t="shared" si="105"/>
        <v>82387769635664.406</v>
      </c>
      <c r="M128" s="27">
        <f t="shared" si="100"/>
        <v>1845439846196299.5</v>
      </c>
      <c r="N128" s="26">
        <f t="shared" si="101"/>
        <v>8.3333333333333339</v>
      </c>
      <c r="O128" s="39">
        <v>1200</v>
      </c>
      <c r="P128" s="30"/>
      <c r="Q128" s="27">
        <f t="shared" si="102"/>
        <v>1285644548307.9673</v>
      </c>
      <c r="R128" s="27"/>
      <c r="S128" s="20"/>
      <c r="T128" s="27"/>
    </row>
    <row r="129" spans="4:20" ht="15.75">
      <c r="D129" s="26">
        <f t="shared" si="95"/>
        <v>0.77052139180993673</v>
      </c>
      <c r="E129" s="26">
        <f t="shared" si="96"/>
        <v>-0.11321529955938489</v>
      </c>
      <c r="F129" s="26">
        <f t="shared" si="97"/>
        <v>-1.9590050881224301</v>
      </c>
      <c r="G129" s="27">
        <f t="shared" si="98"/>
        <v>1.6746283280614057E-2</v>
      </c>
      <c r="H129" s="26">
        <f t="shared" si="103"/>
        <v>-0.18292352159490449</v>
      </c>
      <c r="I129" s="26">
        <f t="shared" si="99"/>
        <v>1.1614733247380169</v>
      </c>
      <c r="J129" s="31">
        <f t="shared" si="104"/>
        <v>0.47424772487721328</v>
      </c>
      <c r="K129" s="27">
        <f>91.4*101325/8.314/O129/1000000</f>
        <v>8.5685914398327199E-4</v>
      </c>
      <c r="L129" s="28">
        <f t="shared" si="105"/>
        <v>85801817887422.609</v>
      </c>
      <c r="M129" s="27">
        <f t="shared" si="100"/>
        <v>1676893522609695.7</v>
      </c>
      <c r="N129" s="26">
        <f t="shared" si="101"/>
        <v>7.6923076923076925</v>
      </c>
      <c r="O129" s="12">
        <v>1300</v>
      </c>
      <c r="P129" s="30"/>
      <c r="Q129" s="27">
        <f t="shared" si="102"/>
        <v>1088897572842.4388</v>
      </c>
      <c r="R129" s="27"/>
      <c r="S129" s="20"/>
      <c r="T129" s="27"/>
    </row>
    <row r="130" spans="4:20" ht="15.75">
      <c r="D130" s="26">
        <f t="shared" si="95"/>
        <v>0.77867189654703461</v>
      </c>
      <c r="E130" s="26">
        <f>LOG(J130)/(1+(F130/(I130-0.14*F130))^2)</f>
        <v>-0.10864549936933832</v>
      </c>
      <c r="F130" s="26">
        <f>LOG(G130)+H130</f>
        <v>-2.0366451149367917</v>
      </c>
      <c r="G130" s="27">
        <f>M130*K130/L130</f>
        <v>1.4004848226954907E-2</v>
      </c>
      <c r="H130" s="26">
        <f>-0.4-0.67*LOG(J130)</f>
        <v>-0.18292352159490449</v>
      </c>
      <c r="I130" s="26">
        <f>0.75-1.27*LOG(J130)</f>
        <v>1.1614733247380169</v>
      </c>
      <c r="J130" s="31">
        <f t="shared" si="104"/>
        <v>0.47424772487721328</v>
      </c>
      <c r="K130" s="27">
        <f>93.5*101325/8.314/O130/1000000</f>
        <v>8.1393583112821747E-4</v>
      </c>
      <c r="L130" s="28">
        <f t="shared" si="105"/>
        <v>89136356113059.453</v>
      </c>
      <c r="M130" s="27">
        <f>$B$7*O130^$B$8*EXP(-$B$9/1.987/O130)</f>
        <v>1533709527367586.2</v>
      </c>
      <c r="N130" s="26">
        <f>10000/O130</f>
        <v>7.1428571428571432</v>
      </c>
      <c r="O130" s="39">
        <v>1400</v>
      </c>
      <c r="P130" s="30"/>
      <c r="Q130" s="27">
        <f>L130/(1+L130/M130/K130)*D130</f>
        <v>958622795383.1687</v>
      </c>
      <c r="R130" s="27"/>
      <c r="S130" s="20"/>
      <c r="T130" s="27"/>
    </row>
    <row r="131" spans="4:20" ht="15.75">
      <c r="D131" s="26">
        <f t="shared" si="95"/>
        <v>0.78719169218676155</v>
      </c>
      <c r="E131" s="26">
        <f>LOG(J131)/(1+(F131/(I131-0.14*F131))^2)</f>
        <v>-0.10391949798180276</v>
      </c>
      <c r="F131" s="26">
        <f>LOG(G131)+H131</f>
        <v>-2.1226996852866096</v>
      </c>
      <c r="G131" s="27">
        <f>M131*K131/L131</f>
        <v>1.1487455348618079E-2</v>
      </c>
      <c r="H131" s="26">
        <f>-0.4-0.67*LOG(J131)</f>
        <v>-0.18292352159490449</v>
      </c>
      <c r="I131" s="26">
        <f>0.75-1.27*LOG(J131)</f>
        <v>1.1614733247380169</v>
      </c>
      <c r="J131" s="31">
        <f t="shared" si="104"/>
        <v>0.47424772487721328</v>
      </c>
      <c r="K131" s="27">
        <f>92.6*101325/8.314/O131/1000000</f>
        <v>7.5236107770026452E-4</v>
      </c>
      <c r="L131" s="28">
        <f t="shared" si="105"/>
        <v>92396720595423.437</v>
      </c>
      <c r="M131" s="27">
        <f>$B$7*O131^$B$8*EXP(-$B$9/1.987/O131)</f>
        <v>1410763041388383.7</v>
      </c>
      <c r="N131" s="26">
        <f>10000/O131</f>
        <v>6.666666666666667</v>
      </c>
      <c r="O131" s="12">
        <v>1500</v>
      </c>
      <c r="P131" s="30"/>
      <c r="Q131" s="27">
        <f>L131/(1+L131/M131/K131)*D131</f>
        <v>826038700147.04663</v>
      </c>
      <c r="R131" s="27"/>
      <c r="S131" s="20"/>
      <c r="T131" s="27"/>
    </row>
    <row r="132" spans="4:20">
      <c r="D132" s="2" t="s">
        <v>4</v>
      </c>
      <c r="E132" s="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10</v>
      </c>
      <c r="K132" t="s">
        <v>11</v>
      </c>
      <c r="L132" t="s">
        <v>12</v>
      </c>
      <c r="M132" t="s">
        <v>13</v>
      </c>
      <c r="N132" t="s">
        <v>14</v>
      </c>
      <c r="P132">
        <f>760*50</f>
        <v>38000</v>
      </c>
      <c r="Q132" t="s">
        <v>16</v>
      </c>
      <c r="R132" s="6"/>
      <c r="S132" s="6"/>
      <c r="T132" s="6"/>
    </row>
    <row r="133" spans="4:20" ht="15.75">
      <c r="D133" s="2">
        <f t="shared" ref="D133:D145" si="107">10^E133</f>
        <v>0.55595580915825349</v>
      </c>
      <c r="E133" s="2">
        <f t="shared" ref="E133:E143" si="108">LOG(J133)/(1+(F133/(I133-0.14*F133))^2)</f>
        <v>-0.25495972748528883</v>
      </c>
      <c r="F133" s="2">
        <f t="shared" ref="F133:F143" si="109">LOG(G133)+H133</f>
        <v>-0.65186543942073016</v>
      </c>
      <c r="G133" s="6">
        <f t="shared" ref="G133:G143" si="110">M133*K133/L133</f>
        <v>0.33967069682257872</v>
      </c>
      <c r="H133" s="2">
        <f>-0.4-0.67*LOG(J133)</f>
        <v>-0.18292352159490449</v>
      </c>
      <c r="I133" s="2">
        <f t="shared" ref="I133:I143" si="111">0.75-1.27*LOG(J133)</f>
        <v>1.1614733247380169</v>
      </c>
      <c r="J133" s="4">
        <f>(1-$B$10)*EXP(-O133/$B$11)+$B$10*EXP(-O133/$B$12)+EXP(-B$13/O133)</f>
        <v>0.47424772487721328</v>
      </c>
      <c r="K133" s="6">
        <f>$P$132*101325/760/8.314/O133/1000000</f>
        <v>2.0312124127976907E-3</v>
      </c>
      <c r="L133" s="9">
        <f>B$4*O133^B$5*EXP(-B$6/1.987/O133)</f>
        <v>48271057302442.148</v>
      </c>
      <c r="M133" s="6">
        <f t="shared" ref="M133:M143" si="112">$B$7*O133^$B$8*EXP(-$B$9/1.987/O133)</f>
        <v>8072156100946505</v>
      </c>
      <c r="N133" s="2">
        <f t="shared" ref="N133:N143" si="113">10000/O133</f>
        <v>33.333333333333336</v>
      </c>
      <c r="O133" s="12">
        <v>300</v>
      </c>
      <c r="P133" s="13"/>
      <c r="Q133" s="6">
        <f t="shared" ref="Q133:Q143" si="114">L133/(1+L133/M133/K133)*D133</f>
        <v>6804357263023.4092</v>
      </c>
      <c r="R133" s="6"/>
    </row>
    <row r="134" spans="4:20" ht="15.75">
      <c r="D134" s="2">
        <f t="shared" si="107"/>
        <v>0.61050724334817619</v>
      </c>
      <c r="E134" s="2">
        <f t="shared" si="108"/>
        <v>-0.2143091790123304</v>
      </c>
      <c r="F134" s="2">
        <f t="shared" si="109"/>
        <v>-0.92341509434318692</v>
      </c>
      <c r="G134" s="6">
        <f t="shared" si="110"/>
        <v>0.18176423261287092</v>
      </c>
      <c r="H134" s="2">
        <f t="shared" ref="H134:H143" si="115">-0.4-0.67*LOG(J134)</f>
        <v>-0.18292352159490449</v>
      </c>
      <c r="I134" s="2">
        <f t="shared" si="111"/>
        <v>1.1614733247380169</v>
      </c>
      <c r="J134" s="4">
        <f t="shared" ref="J134:J145" si="116">(1-$B$10)*EXP(-O134/$B$11)+$B$10*EXP(-O134/$B$12)+EXP(-B$13/O134)</f>
        <v>0.47424772487721328</v>
      </c>
      <c r="K134" s="6">
        <f t="shared" ref="K134:K145" si="117">$P$132*101325/760/8.314/O134/1000000</f>
        <v>1.5234093095982679E-3</v>
      </c>
      <c r="L134" s="9">
        <f t="shared" ref="L134:L145" si="118">B$4*O134^B$5*EXP(-B$6/1.987/O134)</f>
        <v>51915144096005.555</v>
      </c>
      <c r="M134" s="6">
        <f t="shared" si="112"/>
        <v>6194209440721797</v>
      </c>
      <c r="N134" s="2">
        <f t="shared" si="113"/>
        <v>25</v>
      </c>
      <c r="O134" s="12">
        <v>400</v>
      </c>
      <c r="P134" s="13"/>
      <c r="Q134" s="6">
        <f t="shared" si="114"/>
        <v>4874863622996.3408</v>
      </c>
      <c r="R134" s="6"/>
      <c r="S134" s="6"/>
      <c r="T134" s="6"/>
    </row>
    <row r="135" spans="4:20" ht="15.75">
      <c r="D135" s="37">
        <f t="shared" si="107"/>
        <v>0.65392375227377664</v>
      </c>
      <c r="E135" s="37">
        <f t="shared" si="108"/>
        <v>-0.18447288760422076</v>
      </c>
      <c r="F135" s="37">
        <f t="shared" si="109"/>
        <v>-1.1501324596030482</v>
      </c>
      <c r="G135" s="20">
        <f t="shared" si="110"/>
        <v>0.10784277684565335</v>
      </c>
      <c r="H135" s="37">
        <f t="shared" si="115"/>
        <v>-0.18292352159490449</v>
      </c>
      <c r="I135" s="37">
        <f t="shared" si="111"/>
        <v>1.1614733247380169</v>
      </c>
      <c r="J135" s="20">
        <f t="shared" si="116"/>
        <v>0.47424772487721328</v>
      </c>
      <c r="K135" s="20">
        <f t="shared" si="117"/>
        <v>1.2187274476786144E-3</v>
      </c>
      <c r="L135" s="38">
        <f t="shared" si="118"/>
        <v>55914419404048.281</v>
      </c>
      <c r="M135" s="20">
        <f t="shared" si="112"/>
        <v>4947756174467637</v>
      </c>
      <c r="N135" s="37">
        <f t="shared" si="113"/>
        <v>20</v>
      </c>
      <c r="O135" s="39">
        <v>500</v>
      </c>
      <c r="P135" s="40"/>
      <c r="Q135" s="20">
        <f t="shared" si="114"/>
        <v>3559294009468.9429</v>
      </c>
      <c r="R135" s="20">
        <f>0.0000000000057*6.02E+23</f>
        <v>3431400000000</v>
      </c>
      <c r="S135" s="20">
        <f>(R135-Q135)^2/Q135^2</f>
        <v>1.2911380441936046E-3</v>
      </c>
      <c r="T135" s="20"/>
    </row>
    <row r="136" spans="4:20" ht="15.75">
      <c r="D136" s="2">
        <f t="shared" si="107"/>
        <v>0.68752339035895416</v>
      </c>
      <c r="E136" s="2">
        <f t="shared" si="108"/>
        <v>-0.16271252203439387</v>
      </c>
      <c r="F136" s="2">
        <f t="shared" si="109"/>
        <v>-1.3436378829062197</v>
      </c>
      <c r="G136" s="6">
        <f t="shared" si="110"/>
        <v>6.9069392898207696E-2</v>
      </c>
      <c r="H136" s="2">
        <f t="shared" si="115"/>
        <v>-0.18292352159490449</v>
      </c>
      <c r="I136" s="2">
        <f t="shared" si="111"/>
        <v>1.1614733247380169</v>
      </c>
      <c r="J136" s="4">
        <f t="shared" si="116"/>
        <v>0.47424772487721328</v>
      </c>
      <c r="K136" s="6">
        <f t="shared" si="117"/>
        <v>1.0156062063988453E-3</v>
      </c>
      <c r="L136" s="9">
        <f t="shared" si="118"/>
        <v>59954213423504.078</v>
      </c>
      <c r="M136" s="6">
        <f t="shared" si="112"/>
        <v>4077368862813705</v>
      </c>
      <c r="N136" s="2">
        <f t="shared" si="113"/>
        <v>16.666666666666668</v>
      </c>
      <c r="O136" s="12">
        <v>600</v>
      </c>
      <c r="P136" s="13"/>
      <c r="Q136" s="6">
        <f t="shared" si="114"/>
        <v>2663096661802.7939</v>
      </c>
      <c r="R136" s="6"/>
    </row>
    <row r="137" spans="4:20" ht="15.75">
      <c r="D137" s="2">
        <f t="shared" si="107"/>
        <v>0.71377814110552618</v>
      </c>
      <c r="E137" s="2">
        <f t="shared" si="108"/>
        <v>-0.14643675610382412</v>
      </c>
      <c r="F137" s="2">
        <f t="shared" si="109"/>
        <v>-1.5120506241257969</v>
      </c>
      <c r="G137" s="6">
        <f t="shared" si="110"/>
        <v>4.686761972369375E-2</v>
      </c>
      <c r="H137" s="2">
        <f t="shared" si="115"/>
        <v>-0.18292352159490449</v>
      </c>
      <c r="I137" s="2">
        <f t="shared" si="111"/>
        <v>1.1614733247380169</v>
      </c>
      <c r="J137" s="4">
        <f t="shared" si="116"/>
        <v>0.47424772487721328</v>
      </c>
      <c r="K137" s="6">
        <f t="shared" si="117"/>
        <v>8.7051960548472458E-4</v>
      </c>
      <c r="L137" s="9">
        <f t="shared" si="118"/>
        <v>63935043186733.742</v>
      </c>
      <c r="M137" s="6">
        <f t="shared" si="112"/>
        <v>3442177835185304</v>
      </c>
      <c r="N137" s="2">
        <f t="shared" si="113"/>
        <v>14.285714285714286</v>
      </c>
      <c r="O137" s="12">
        <v>700</v>
      </c>
      <c r="P137" s="13"/>
      <c r="Q137" s="6">
        <f t="shared" si="114"/>
        <v>2043070425595.1638</v>
      </c>
      <c r="R137" s="6"/>
    </row>
    <row r="138" spans="4:20" ht="15.75">
      <c r="D138" s="2">
        <f t="shared" si="107"/>
        <v>0.73468492772852523</v>
      </c>
      <c r="E138" s="2">
        <f t="shared" si="108"/>
        <v>-0.13389886973977386</v>
      </c>
      <c r="F138" s="2">
        <f t="shared" si="109"/>
        <v>-1.6609778863933031</v>
      </c>
      <c r="G138" s="6">
        <f t="shared" si="110"/>
        <v>3.3261791371897755E-2</v>
      </c>
      <c r="H138" s="2">
        <f t="shared" si="115"/>
        <v>-0.18292352159490449</v>
      </c>
      <c r="I138" s="2">
        <f t="shared" si="111"/>
        <v>1.1614733247380169</v>
      </c>
      <c r="J138" s="4">
        <f t="shared" si="116"/>
        <v>0.47424772487721328</v>
      </c>
      <c r="K138" s="6">
        <f t="shared" si="117"/>
        <v>7.6170465479913395E-4</v>
      </c>
      <c r="L138" s="9">
        <f t="shared" si="118"/>
        <v>67823786331033.422</v>
      </c>
      <c r="M138" s="6">
        <f t="shared" si="112"/>
        <v>2961699940759728.5</v>
      </c>
      <c r="N138" s="2">
        <f t="shared" si="113"/>
        <v>12.5</v>
      </c>
      <c r="O138" s="12">
        <v>800</v>
      </c>
      <c r="P138" s="13"/>
      <c r="Q138" s="6">
        <f t="shared" si="114"/>
        <v>1604051938513.8721</v>
      </c>
      <c r="R138" s="6"/>
    </row>
    <row r="139" spans="4:20" ht="15.75">
      <c r="D139" s="2">
        <f t="shared" si="107"/>
        <v>0.75166661904236398</v>
      </c>
      <c r="E139" s="2">
        <f t="shared" si="108"/>
        <v>-0.12397473602183279</v>
      </c>
      <c r="F139" s="2">
        <f t="shared" si="109"/>
        <v>-1.794387570512338</v>
      </c>
      <c r="G139" s="6">
        <f t="shared" si="110"/>
        <v>2.4464477856610746E-2</v>
      </c>
      <c r="H139" s="2">
        <f t="shared" si="115"/>
        <v>-0.18292352159490449</v>
      </c>
      <c r="I139" s="2">
        <f t="shared" si="111"/>
        <v>1.1614733247380169</v>
      </c>
      <c r="J139" s="4">
        <f t="shared" si="116"/>
        <v>0.47424772487721328</v>
      </c>
      <c r="K139" s="6">
        <f t="shared" si="117"/>
        <v>6.7707080426589682E-4</v>
      </c>
      <c r="L139" s="9">
        <f t="shared" si="118"/>
        <v>71611384152110.969</v>
      </c>
      <c r="M139" s="6">
        <f t="shared" si="112"/>
        <v>2587521291469763</v>
      </c>
      <c r="N139" s="2">
        <f t="shared" si="113"/>
        <v>11.111111111111111</v>
      </c>
      <c r="O139" s="12">
        <v>900</v>
      </c>
      <c r="P139" s="13"/>
      <c r="Q139" s="6">
        <f t="shared" si="114"/>
        <v>1285423924695.9377</v>
      </c>
      <c r="R139" s="6"/>
      <c r="S139" s="6"/>
      <c r="T139" s="6"/>
    </row>
    <row r="140" spans="4:20" ht="15.75">
      <c r="D140" s="2">
        <f t="shared" si="107"/>
        <v>0.76571532235578577</v>
      </c>
      <c r="E140" s="2">
        <f t="shared" si="108"/>
        <v>-0.1159326623640896</v>
      </c>
      <c r="F140" s="2">
        <f t="shared" si="109"/>
        <v>-1.9151694607919405</v>
      </c>
      <c r="G140" s="6">
        <f t="shared" si="110"/>
        <v>1.8524822731518596E-2</v>
      </c>
      <c r="H140" s="2">
        <f t="shared" si="115"/>
        <v>-0.18292352159490449</v>
      </c>
      <c r="I140" s="2">
        <f t="shared" si="111"/>
        <v>1.1614733247380169</v>
      </c>
      <c r="J140" s="4">
        <f t="shared" si="116"/>
        <v>0.47424772487721328</v>
      </c>
      <c r="K140" s="6">
        <f t="shared" si="117"/>
        <v>6.093637238393072E-4</v>
      </c>
      <c r="L140" s="9">
        <f t="shared" si="118"/>
        <v>75298240556451.203</v>
      </c>
      <c r="M140" s="6">
        <f t="shared" si="112"/>
        <v>2289086966836481</v>
      </c>
      <c r="N140" s="2">
        <f t="shared" si="113"/>
        <v>10</v>
      </c>
      <c r="O140" s="12">
        <v>1000</v>
      </c>
      <c r="P140" s="13"/>
      <c r="Q140" s="6">
        <f t="shared" si="114"/>
        <v>1048659774218.0553</v>
      </c>
      <c r="R140" s="6"/>
    </row>
    <row r="141" spans="4:20" ht="15.75">
      <c r="D141" s="2">
        <f t="shared" si="107"/>
        <v>0.77752808394077022</v>
      </c>
      <c r="E141" s="2">
        <f t="shared" si="108"/>
        <v>-0.10928391550982647</v>
      </c>
      <c r="F141" s="2">
        <f t="shared" si="109"/>
        <v>-2.0254853250247842</v>
      </c>
      <c r="G141" s="6">
        <f t="shared" si="110"/>
        <v>1.4369385514480856E-2</v>
      </c>
      <c r="H141" s="2">
        <f t="shared" si="115"/>
        <v>-0.18292352159490449</v>
      </c>
      <c r="I141" s="2">
        <f t="shared" si="111"/>
        <v>1.1614733247380169</v>
      </c>
      <c r="J141" s="4">
        <f t="shared" si="116"/>
        <v>0.47424772487721328</v>
      </c>
      <c r="K141" s="6">
        <f t="shared" si="117"/>
        <v>5.5396702167209743E-4</v>
      </c>
      <c r="L141" s="9">
        <f t="shared" si="118"/>
        <v>78888524675193.109</v>
      </c>
      <c r="M141" s="6">
        <f t="shared" si="112"/>
        <v>2046294417138554</v>
      </c>
      <c r="N141" s="2">
        <f t="shared" si="113"/>
        <v>9.0909090909090917</v>
      </c>
      <c r="O141" s="12">
        <v>1100</v>
      </c>
      <c r="P141" s="13"/>
      <c r="Q141" s="6">
        <f t="shared" si="114"/>
        <v>868904370948.97009</v>
      </c>
      <c r="R141" s="6"/>
    </row>
    <row r="142" spans="4:20" ht="15.75">
      <c r="D142" s="2">
        <f t="shared" si="107"/>
        <v>0.78760298695712727</v>
      </c>
      <c r="E142" s="2">
        <f t="shared" si="108"/>
        <v>-0.10369264548397249</v>
      </c>
      <c r="F142" s="2">
        <f t="shared" si="109"/>
        <v>-2.1269910235209628</v>
      </c>
      <c r="G142" s="6">
        <f t="shared" si="110"/>
        <v>1.1374504793739207E-2</v>
      </c>
      <c r="H142" s="2">
        <f t="shared" si="115"/>
        <v>-0.18292352159490449</v>
      </c>
      <c r="I142" s="2">
        <f t="shared" si="111"/>
        <v>1.1614733247380169</v>
      </c>
      <c r="J142" s="4">
        <f t="shared" si="116"/>
        <v>0.47424772487721328</v>
      </c>
      <c r="K142" s="6">
        <f t="shared" si="117"/>
        <v>5.0780310319942267E-4</v>
      </c>
      <c r="L142" s="9">
        <f t="shared" si="118"/>
        <v>82387769635664.406</v>
      </c>
      <c r="M142" s="6">
        <f t="shared" si="112"/>
        <v>1845439846196299.5</v>
      </c>
      <c r="N142" s="2">
        <f t="shared" si="113"/>
        <v>8.3333333333333339</v>
      </c>
      <c r="O142" s="12">
        <v>1200</v>
      </c>
      <c r="P142" s="13"/>
      <c r="Q142" s="6">
        <f t="shared" si="114"/>
        <v>729777714557.71741</v>
      </c>
    </row>
    <row r="143" spans="4:20" ht="15.75">
      <c r="D143" s="2">
        <f t="shared" si="107"/>
        <v>0.79630289058384485</v>
      </c>
      <c r="E143" s="2">
        <f t="shared" si="108"/>
        <v>-9.8921707779540971E-2</v>
      </c>
      <c r="F143" s="2">
        <f t="shared" si="109"/>
        <v>-2.2209812795202426</v>
      </c>
      <c r="G143" s="6">
        <f t="shared" si="110"/>
        <v>9.1609864773599878E-3</v>
      </c>
      <c r="H143" s="2">
        <f t="shared" si="115"/>
        <v>-0.18292352159490449</v>
      </c>
      <c r="I143" s="2">
        <f t="shared" si="111"/>
        <v>1.1614733247380169</v>
      </c>
      <c r="J143" s="4">
        <f t="shared" si="116"/>
        <v>0.47424772487721328</v>
      </c>
      <c r="K143" s="6">
        <f t="shared" si="117"/>
        <v>4.6874132603023634E-4</v>
      </c>
      <c r="L143" s="9">
        <f t="shared" si="118"/>
        <v>85801817887422.609</v>
      </c>
      <c r="M143" s="6">
        <f t="shared" si="112"/>
        <v>1676893522609695.7</v>
      </c>
      <c r="N143" s="2">
        <f t="shared" si="113"/>
        <v>7.6923076923076925</v>
      </c>
      <c r="O143" s="12">
        <v>1300</v>
      </c>
      <c r="P143" s="13"/>
      <c r="Q143" s="6">
        <f t="shared" si="114"/>
        <v>620235430030.37708</v>
      </c>
      <c r="R143" s="6"/>
    </row>
    <row r="144" spans="4:20" ht="15.75">
      <c r="D144" s="2">
        <f t="shared" si="107"/>
        <v>0.81058988478339988</v>
      </c>
      <c r="E144" s="2">
        <f>LOG(J144)/(1+(F144/(I144-0.14*F144))^2)</f>
        <v>-9.1198820049250784E-2</v>
      </c>
      <c r="F144" s="2">
        <f>LOG(G144)+H144</f>
        <v>-2.390340667632525</v>
      </c>
      <c r="G144" s="6">
        <f>M144*K144/L144</f>
        <v>6.2027296698801736E-3</v>
      </c>
      <c r="H144" s="2">
        <f>-0.4-0.67*LOG(J144)</f>
        <v>-0.18292352159490449</v>
      </c>
      <c r="I144" s="2">
        <f>0.75-1.27*LOG(J144)</f>
        <v>1.1614733247380169</v>
      </c>
      <c r="J144" s="4">
        <f t="shared" si="116"/>
        <v>0.47424772487721328</v>
      </c>
      <c r="K144" s="6">
        <f t="shared" si="117"/>
        <v>4.0624248255953814E-4</v>
      </c>
      <c r="L144" s="9">
        <f t="shared" si="118"/>
        <v>92396720595423.437</v>
      </c>
      <c r="M144" s="6">
        <f>$B$7*O144^$B$8*EXP(-$B$9/1.987/O144)</f>
        <v>1410763041388383.7</v>
      </c>
      <c r="N144" s="2">
        <f>10000/O144</f>
        <v>6.666666666666667</v>
      </c>
      <c r="O144" s="12">
        <v>1500</v>
      </c>
      <c r="P144" s="13"/>
      <c r="Q144" s="6">
        <f>L144/(1+L144/M144/K144)*D144</f>
        <v>461694924164.64606</v>
      </c>
      <c r="R144" s="6"/>
    </row>
    <row r="145" spans="4:20" ht="15.75">
      <c r="D145" s="2">
        <f t="shared" si="107"/>
        <v>0.82666109096814633</v>
      </c>
      <c r="E145" s="2">
        <f>LOG(J145)/(1+(F145/(I145-0.14*F145))^2)</f>
        <v>-8.2672503131268435E-2</v>
      </c>
      <c r="F145" s="2">
        <f>LOG(G145)+H145</f>
        <v>-2.6082676101701647</v>
      </c>
      <c r="G145" s="6">
        <f>M145*K145/L145</f>
        <v>3.7553974879046418E-3</v>
      </c>
      <c r="H145" s="2">
        <f>-0.4-0.67*LOG(J145)</f>
        <v>-0.18292352159490449</v>
      </c>
      <c r="I145" s="2">
        <f>0.75-1.27*LOG(J145)</f>
        <v>1.1614733247380169</v>
      </c>
      <c r="J145" s="4">
        <f t="shared" si="116"/>
        <v>0.47424772487721328</v>
      </c>
      <c r="K145" s="6">
        <f t="shared" si="117"/>
        <v>3.3853540213294841E-4</v>
      </c>
      <c r="L145" s="9">
        <f t="shared" si="118"/>
        <v>101779852540394.17</v>
      </c>
      <c r="M145" s="6">
        <f>$B$7*O145^$B$8*EXP(-$B$9/1.987/O145)</f>
        <v>1129051201562061.7</v>
      </c>
      <c r="N145" s="2">
        <f>10000/O145</f>
        <v>5.5555555555555554</v>
      </c>
      <c r="O145" s="12">
        <v>1800</v>
      </c>
      <c r="P145" s="13"/>
      <c r="Q145" s="6">
        <f>L145/(1+L145/M145/K145)*D145</f>
        <v>314787393821.5824</v>
      </c>
      <c r="R145" s="6"/>
    </row>
    <row r="146" spans="4:20">
      <c r="D146" s="2" t="s">
        <v>4</v>
      </c>
      <c r="E146" s="2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P146">
        <f>760*100</f>
        <v>76000</v>
      </c>
      <c r="Q146" t="s">
        <v>16</v>
      </c>
      <c r="R146" s="6"/>
    </row>
    <row r="147" spans="4:20" ht="15.75">
      <c r="D147" s="37">
        <f t="shared" ref="D147:D159" si="119">10^E147</f>
        <v>0.50246787579242791</v>
      </c>
      <c r="E147" s="37">
        <f t="shared" ref="E147:E157" si="120">LOG(J147)/(1+(F147/(I147-0.14*F147))^2)</f>
        <v>-0.29889169870757293</v>
      </c>
      <c r="F147" s="37">
        <f t="shared" ref="F147:F157" si="121">LOG(G147)+H147</f>
        <v>-0.35083544375674902</v>
      </c>
      <c r="G147" s="20">
        <f t="shared" ref="G147:G157" si="122">M147*K147/L147</f>
        <v>0.67934139364515744</v>
      </c>
      <c r="H147" s="37">
        <f>-0.4-0.67*LOG(J147)</f>
        <v>-0.18292352159490449</v>
      </c>
      <c r="I147" s="37">
        <f t="shared" ref="I147:I157" si="123">0.75-1.27*LOG(J147)</f>
        <v>1.1614733247380169</v>
      </c>
      <c r="J147" s="20">
        <f>(1-$B$10)*EXP(-O147/$B$11)+$B$10*EXP(-O147/$B$12)+EXP(-B$13/O147)</f>
        <v>0.47424772487721328</v>
      </c>
      <c r="K147" s="20">
        <f>$P$146*101325/760/8.314/O147/1000000</f>
        <v>4.0624248255953814E-3</v>
      </c>
      <c r="L147" s="38">
        <f>B$4*O147^B$5*EXP(-B$6/1.987/O147)</f>
        <v>48271057302442.148</v>
      </c>
      <c r="M147" s="20">
        <f t="shared" ref="M147:M157" si="124">$B$7*O147^$B$8*EXP(-$B$9/1.987/O147)</f>
        <v>8072156100946505</v>
      </c>
      <c r="N147" s="37">
        <f t="shared" ref="N147:N157" si="125">10000/O147</f>
        <v>33.333333333333336</v>
      </c>
      <c r="O147" s="39">
        <v>300</v>
      </c>
      <c r="P147" s="40"/>
      <c r="Q147" s="20">
        <f t="shared" ref="Q147:Q157" si="126">L147/(1+L147/M147/K147)*D147</f>
        <v>9811698572447.0703</v>
      </c>
      <c r="R147" s="20">
        <f>0.000000000017*6.02E+23</f>
        <v>10234000000000</v>
      </c>
      <c r="S147" s="20">
        <f>(R147-Q147)^2/Q147^2</f>
        <v>1.8524935464394865E-3</v>
      </c>
      <c r="T147" s="20"/>
    </row>
    <row r="148" spans="4:20" ht="15.75">
      <c r="D148" s="37">
        <f t="shared" si="119"/>
        <v>0.55015579783148216</v>
      </c>
      <c r="E148" s="37">
        <f t="shared" si="120"/>
        <v>-0.259514305856613</v>
      </c>
      <c r="F148" s="37">
        <f t="shared" si="121"/>
        <v>-0.62238509867920577</v>
      </c>
      <c r="G148" s="20">
        <f t="shared" si="122"/>
        <v>0.36352846522574184</v>
      </c>
      <c r="H148" s="37">
        <f t="shared" ref="H148:H157" si="127">-0.4-0.67*LOG(J148)</f>
        <v>-0.18292352159490449</v>
      </c>
      <c r="I148" s="37">
        <f t="shared" si="123"/>
        <v>1.1614733247380169</v>
      </c>
      <c r="J148" s="20">
        <f t="shared" ref="J148:J159" si="128">(1-$B$10)*EXP(-O148/$B$11)+$B$10*EXP(-O148/$B$12)+EXP(-B$13/O148)</f>
        <v>0.47424772487721328</v>
      </c>
      <c r="K148" s="20">
        <f>$P$146*101325/760/8.314/O148/1000000</f>
        <v>3.0468186191965358E-3</v>
      </c>
      <c r="L148" s="38">
        <f t="shared" ref="L148:L159" si="129">B$4*O148^B$5*EXP(-B$6/1.987/O148)</f>
        <v>51915144096005.555</v>
      </c>
      <c r="M148" s="20">
        <f t="shared" si="124"/>
        <v>6194209440721797</v>
      </c>
      <c r="N148" s="37">
        <f t="shared" si="125"/>
        <v>25</v>
      </c>
      <c r="O148" s="39">
        <v>400</v>
      </c>
      <c r="P148" s="40"/>
      <c r="Q148" s="20">
        <f t="shared" si="126"/>
        <v>7614720587354.8457</v>
      </c>
      <c r="R148" s="20">
        <f>0.000000000012*6.02E+23</f>
        <v>7224000000000</v>
      </c>
      <c r="S148" s="20">
        <f>(R148-Q148)^2/Q148^2</f>
        <v>2.6328410830479157E-3</v>
      </c>
      <c r="T148" s="20"/>
    </row>
    <row r="149" spans="4:20" ht="15.75">
      <c r="D149" s="37">
        <f t="shared" si="119"/>
        <v>0.59562626985367739</v>
      </c>
      <c r="E149" s="37">
        <f t="shared" si="120"/>
        <v>-0.22502615611647422</v>
      </c>
      <c r="F149" s="37">
        <f t="shared" si="121"/>
        <v>-0.84910246393906696</v>
      </c>
      <c r="G149" s="20">
        <f t="shared" si="122"/>
        <v>0.21568555369130671</v>
      </c>
      <c r="H149" s="37">
        <f t="shared" si="127"/>
        <v>-0.18292352159490449</v>
      </c>
      <c r="I149" s="37">
        <f t="shared" si="123"/>
        <v>1.1614733247380169</v>
      </c>
      <c r="J149" s="20">
        <f t="shared" si="128"/>
        <v>0.47424772487721328</v>
      </c>
      <c r="K149" s="20">
        <f>$P$146*101325/760/8.314/O149/1000000</f>
        <v>2.4374548953572288E-3</v>
      </c>
      <c r="L149" s="38">
        <f t="shared" si="129"/>
        <v>55914419404048.281</v>
      </c>
      <c r="M149" s="20">
        <f t="shared" si="124"/>
        <v>4947756174467637</v>
      </c>
      <c r="N149" s="37">
        <f t="shared" si="125"/>
        <v>20</v>
      </c>
      <c r="O149" s="39">
        <v>500</v>
      </c>
      <c r="P149" s="40"/>
      <c r="Q149" s="20">
        <f t="shared" si="126"/>
        <v>5908775170444.3291</v>
      </c>
      <c r="R149" s="20">
        <f>0.0000000000078*6.02E+23</f>
        <v>4695600000000</v>
      </c>
      <c r="S149" s="20">
        <f>(R149-Q149)^2/Q149^2</f>
        <v>4.2155291400177312E-2</v>
      </c>
      <c r="T149" s="20"/>
    </row>
    <row r="150" spans="4:20" ht="15.75">
      <c r="D150" s="37">
        <f t="shared" si="119"/>
        <v>0.63379526895590887</v>
      </c>
      <c r="E150" s="37">
        <f t="shared" si="120"/>
        <v>-0.19805100697912167</v>
      </c>
      <c r="F150" s="37">
        <f t="shared" si="121"/>
        <v>-1.0426078872422384</v>
      </c>
      <c r="G150" s="20">
        <f t="shared" si="122"/>
        <v>0.13813878579641539</v>
      </c>
      <c r="H150" s="37">
        <f t="shared" si="127"/>
        <v>-0.18292352159490449</v>
      </c>
      <c r="I150" s="37">
        <f t="shared" si="123"/>
        <v>1.1614733247380169</v>
      </c>
      <c r="J150" s="20">
        <f t="shared" si="128"/>
        <v>0.47424772487721328</v>
      </c>
      <c r="K150" s="20">
        <f>$P$146*101325/760/8.314/O150/1000000</f>
        <v>2.0312124127976907E-3</v>
      </c>
      <c r="L150" s="38">
        <f t="shared" si="129"/>
        <v>59954213423504.078</v>
      </c>
      <c r="M150" s="20">
        <f t="shared" si="124"/>
        <v>4077368862813705</v>
      </c>
      <c r="N150" s="37">
        <f t="shared" si="125"/>
        <v>16.666666666666668</v>
      </c>
      <c r="O150" s="39">
        <v>600</v>
      </c>
      <c r="P150" s="40"/>
      <c r="Q150" s="20">
        <f t="shared" si="126"/>
        <v>4611998032502.7539</v>
      </c>
      <c r="R150" s="20">
        <f>0.0000000000059*6.02E+23</f>
        <v>3551800000000</v>
      </c>
      <c r="S150" s="20">
        <f>(R150-Q150)^2/Q150^2</f>
        <v>5.2844009403138527E-2</v>
      </c>
      <c r="T150" s="20"/>
    </row>
    <row r="151" spans="4:20" ht="15.75">
      <c r="D151" s="26">
        <f t="shared" si="119"/>
        <v>0.64594046702509655</v>
      </c>
      <c r="E151" s="26">
        <f t="shared" si="120"/>
        <v>-0.18980750682520764</v>
      </c>
      <c r="F151" s="26">
        <f t="shared" si="121"/>
        <v>-1.1068750779078076</v>
      </c>
      <c r="G151" s="27">
        <f t="shared" si="122"/>
        <v>0.11913748933762949</v>
      </c>
      <c r="H151" s="26">
        <f t="shared" si="127"/>
        <v>-0.18292352159490449</v>
      </c>
      <c r="I151" s="26">
        <f t="shared" si="123"/>
        <v>1.1614733247380169</v>
      </c>
      <c r="J151" s="27">
        <f t="shared" si="128"/>
        <v>0.47424772487721328</v>
      </c>
      <c r="K151" s="27">
        <f>127.1*101325/8.314/O151/1000000</f>
        <v>2.2128608371421695E-3</v>
      </c>
      <c r="L151" s="28">
        <f t="shared" si="129"/>
        <v>63935043186733.742</v>
      </c>
      <c r="M151" s="27">
        <f t="shared" si="124"/>
        <v>3442177835185304</v>
      </c>
      <c r="N151" s="26">
        <f t="shared" si="125"/>
        <v>14.285714285714286</v>
      </c>
      <c r="O151" s="39">
        <v>700</v>
      </c>
      <c r="P151" s="30"/>
      <c r="Q151" s="27">
        <f t="shared" si="126"/>
        <v>4396392472214.751</v>
      </c>
      <c r="R151" s="27"/>
      <c r="S151" s="20"/>
      <c r="T151" s="27"/>
    </row>
    <row r="152" spans="4:20" ht="15.75">
      <c r="D152" s="26">
        <f t="shared" si="119"/>
        <v>0.67084356770460063</v>
      </c>
      <c r="E152" s="26">
        <f t="shared" si="120"/>
        <v>-0.17337874004438342</v>
      </c>
      <c r="F152" s="26">
        <f t="shared" si="121"/>
        <v>-1.2450034750167371</v>
      </c>
      <c r="G152" s="27">
        <f t="shared" si="122"/>
        <v>8.6680228315165558E-2</v>
      </c>
      <c r="H152" s="26">
        <f t="shared" si="127"/>
        <v>-0.18292352159490449</v>
      </c>
      <c r="I152" s="26">
        <f t="shared" si="123"/>
        <v>1.1614733247380169</v>
      </c>
      <c r="J152" s="27">
        <f t="shared" si="128"/>
        <v>0.47424772487721328</v>
      </c>
      <c r="K152" s="27">
        <f>130.3*101325/8.314/O152/1000000</f>
        <v>1.9850023304065433E-3</v>
      </c>
      <c r="L152" s="28">
        <f t="shared" si="129"/>
        <v>67823786331033.422</v>
      </c>
      <c r="M152" s="27">
        <f t="shared" si="124"/>
        <v>2961699940759728.5</v>
      </c>
      <c r="N152" s="26">
        <f t="shared" si="125"/>
        <v>12.5</v>
      </c>
      <c r="O152" s="39">
        <v>800</v>
      </c>
      <c r="P152" s="30"/>
      <c r="Q152" s="27">
        <f t="shared" si="126"/>
        <v>3629289165766.9136</v>
      </c>
      <c r="R152" s="27"/>
      <c r="S152" s="20"/>
      <c r="T152" s="27"/>
    </row>
    <row r="153" spans="4:20" ht="15.75">
      <c r="D153" s="26">
        <f t="shared" si="119"/>
        <v>0.68310890213749909</v>
      </c>
      <c r="E153" s="26">
        <f t="shared" si="120"/>
        <v>-0.16551005499018168</v>
      </c>
      <c r="F153" s="26">
        <f t="shared" si="121"/>
        <v>-1.3169768826050865</v>
      </c>
      <c r="G153" s="27">
        <f t="shared" si="122"/>
        <v>7.3442362525545465E-2</v>
      </c>
      <c r="H153" s="26">
        <f t="shared" si="127"/>
        <v>-0.18292352159490449</v>
      </c>
      <c r="I153" s="26">
        <f t="shared" si="123"/>
        <v>1.1614733247380169</v>
      </c>
      <c r="J153" s="27">
        <f t="shared" si="128"/>
        <v>0.47424772487721328</v>
      </c>
      <c r="K153" s="27">
        <f>150.1*101325/8.314/O153/1000000</f>
        <v>2.0325665544062223E-3</v>
      </c>
      <c r="L153" s="28">
        <f t="shared" si="129"/>
        <v>71611384152110.969</v>
      </c>
      <c r="M153" s="27">
        <f t="shared" si="124"/>
        <v>2587521291469763</v>
      </c>
      <c r="N153" s="26">
        <f t="shared" si="125"/>
        <v>11.111111111111111</v>
      </c>
      <c r="O153" s="39">
        <v>900</v>
      </c>
      <c r="P153" s="30"/>
      <c r="Q153" s="27">
        <f t="shared" si="126"/>
        <v>3346878308076.1987</v>
      </c>
      <c r="R153" s="27"/>
      <c r="S153" s="20"/>
      <c r="T153" s="27"/>
    </row>
    <row r="154" spans="4:20" ht="15.75">
      <c r="D154" s="26">
        <f t="shared" si="119"/>
        <v>0.70160690026838468</v>
      </c>
      <c r="E154" s="26">
        <f t="shared" si="120"/>
        <v>-0.15390614835674413</v>
      </c>
      <c r="F154" s="26">
        <f t="shared" si="121"/>
        <v>-1.4317248126934052</v>
      </c>
      <c r="G154" s="27">
        <f t="shared" si="122"/>
        <v>5.6389560394742598E-2</v>
      </c>
      <c r="H154" s="26">
        <f t="shared" si="127"/>
        <v>-0.18292352159490449</v>
      </c>
      <c r="I154" s="26">
        <f t="shared" si="123"/>
        <v>1.1614733247380169</v>
      </c>
      <c r="J154" s="27">
        <f t="shared" si="128"/>
        <v>0.47424772487721328</v>
      </c>
      <c r="K154" s="27">
        <f>152.2*101325/8.314/O154/1000000</f>
        <v>1.8549031753668508E-3</v>
      </c>
      <c r="L154" s="28">
        <f t="shared" si="129"/>
        <v>75298240556451.203</v>
      </c>
      <c r="M154" s="27">
        <f t="shared" si="124"/>
        <v>2289086966836481</v>
      </c>
      <c r="N154" s="26">
        <f t="shared" si="125"/>
        <v>10</v>
      </c>
      <c r="O154" s="39">
        <v>1000</v>
      </c>
      <c r="P154" s="30"/>
      <c r="Q154" s="27">
        <f t="shared" si="126"/>
        <v>2820027141874.0317</v>
      </c>
      <c r="R154" s="27"/>
      <c r="S154" s="20"/>
      <c r="T154" s="27"/>
    </row>
    <row r="155" spans="4:20" ht="15.75">
      <c r="D155" s="26">
        <f t="shared" si="119"/>
        <v>0.71878092062302934</v>
      </c>
      <c r="E155" s="26">
        <f t="shared" si="120"/>
        <v>-0.1434034593567596</v>
      </c>
      <c r="F155" s="26">
        <f t="shared" si="121"/>
        <v>-1.5463420770461713</v>
      </c>
      <c r="G155" s="27">
        <f t="shared" si="122"/>
        <v>4.3309327940645286E-2</v>
      </c>
      <c r="H155" s="26">
        <f t="shared" si="127"/>
        <v>-0.18292352159490449</v>
      </c>
      <c r="I155" s="26">
        <f t="shared" si="123"/>
        <v>1.1614733247380169</v>
      </c>
      <c r="J155" s="27">
        <f t="shared" si="128"/>
        <v>0.47424772487721328</v>
      </c>
      <c r="K155" s="27">
        <f>150.7*101325/8.314/O155/1000000</f>
        <v>1.6696566033197013E-3</v>
      </c>
      <c r="L155" s="28">
        <f t="shared" si="129"/>
        <v>78888524675193.109</v>
      </c>
      <c r="M155" s="27">
        <f t="shared" si="124"/>
        <v>2046294417138554</v>
      </c>
      <c r="N155" s="26">
        <f t="shared" si="125"/>
        <v>9.0909090909090917</v>
      </c>
      <c r="O155" s="39">
        <v>1100</v>
      </c>
      <c r="P155" s="30"/>
      <c r="Q155" s="27">
        <f t="shared" si="126"/>
        <v>2353849703567.6704</v>
      </c>
      <c r="R155" s="27"/>
      <c r="S155" s="20"/>
      <c r="T155" s="27"/>
    </row>
    <row r="156" spans="4:20" ht="15.75">
      <c r="D156" s="26">
        <f t="shared" si="119"/>
        <v>0.73441291505461714</v>
      </c>
      <c r="E156" s="26">
        <f t="shared" si="120"/>
        <v>-0.13405969443258287</v>
      </c>
      <c r="F156" s="26">
        <f t="shared" si="121"/>
        <v>-1.6589392320667253</v>
      </c>
      <c r="G156" s="27">
        <f t="shared" si="122"/>
        <v>3.3418295084005789E-2</v>
      </c>
      <c r="H156" s="26">
        <f t="shared" si="127"/>
        <v>-0.18292352159490449</v>
      </c>
      <c r="I156" s="26">
        <f t="shared" si="123"/>
        <v>1.1614733247380169</v>
      </c>
      <c r="J156" s="27">
        <f t="shared" si="128"/>
        <v>0.47424772487721328</v>
      </c>
      <c r="K156" s="27">
        <f>146.9*101325/8.314/O156/1000000</f>
        <v>1.4919255171999038E-3</v>
      </c>
      <c r="L156" s="28">
        <f t="shared" si="129"/>
        <v>82387769635664.406</v>
      </c>
      <c r="M156" s="27">
        <f t="shared" si="124"/>
        <v>1845439846196299.5</v>
      </c>
      <c r="N156" s="26">
        <f t="shared" si="125"/>
        <v>8.3333333333333339</v>
      </c>
      <c r="O156" s="39">
        <v>1200</v>
      </c>
      <c r="P156" s="30"/>
      <c r="Q156" s="27">
        <f t="shared" si="126"/>
        <v>1956641205813.4683</v>
      </c>
      <c r="R156" s="27"/>
      <c r="S156" s="20"/>
      <c r="T156" s="27"/>
    </row>
    <row r="157" spans="4:20" ht="15.75">
      <c r="D157" s="26">
        <f t="shared" si="119"/>
        <v>0.74611706295500968</v>
      </c>
      <c r="E157" s="26">
        <f t="shared" si="120"/>
        <v>-0.12719302801405874</v>
      </c>
      <c r="F157" s="26">
        <f t="shared" si="121"/>
        <v>-1.7493962253350532</v>
      </c>
      <c r="G157" s="27">
        <f t="shared" si="122"/>
        <v>2.7134841945940284E-2</v>
      </c>
      <c r="H157" s="26">
        <f t="shared" si="127"/>
        <v>-0.18292352159490449</v>
      </c>
      <c r="I157" s="26">
        <f t="shared" si="123"/>
        <v>1.1614733247380169</v>
      </c>
      <c r="J157" s="27">
        <f t="shared" si="128"/>
        <v>0.47424772487721328</v>
      </c>
      <c r="K157" s="27">
        <f>148.1*101325/8.314/O157/1000000</f>
        <v>1.3884118077015599E-3</v>
      </c>
      <c r="L157" s="28">
        <f t="shared" si="129"/>
        <v>85801817887422.609</v>
      </c>
      <c r="M157" s="27">
        <f t="shared" si="124"/>
        <v>1676893522609695.7</v>
      </c>
      <c r="N157" s="26">
        <f t="shared" si="125"/>
        <v>7.6923076923076925</v>
      </c>
      <c r="O157" s="39">
        <v>1300</v>
      </c>
      <c r="P157" s="30"/>
      <c r="Q157" s="27">
        <f t="shared" si="126"/>
        <v>1691232423872.135</v>
      </c>
      <c r="R157" s="27"/>
      <c r="S157" s="20"/>
      <c r="T157" s="27"/>
    </row>
    <row r="158" spans="4:20" ht="15.75">
      <c r="D158" s="26">
        <f t="shared" si="119"/>
        <v>0.77611511391730692</v>
      </c>
      <c r="E158" s="26">
        <f>LOG(J158)/(1+(F158/(I158-0.14*F158))^2)</f>
        <v>-0.11007385911375678</v>
      </c>
      <c r="F158" s="26">
        <f>LOG(G158)+H158</f>
        <v>-2.0118215312117593</v>
      </c>
      <c r="G158" s="27">
        <f>M158*K158/L158</f>
        <v>1.4828662828540489E-2</v>
      </c>
      <c r="H158" s="26">
        <f>-0.4-0.67*LOG(J158)</f>
        <v>-0.18292352159490449</v>
      </c>
      <c r="I158" s="26">
        <f>0.75-1.27*LOG(J158)</f>
        <v>1.1614733247380169</v>
      </c>
      <c r="J158" s="31">
        <f t="shared" si="128"/>
        <v>0.47424772487721328</v>
      </c>
      <c r="K158" s="27">
        <f>99*101325/8.314/O158/1000000</f>
        <v>8.6181440942987729E-4</v>
      </c>
      <c r="L158" s="28">
        <f t="shared" si="129"/>
        <v>89136356113059.453</v>
      </c>
      <c r="M158" s="27">
        <f>$B$7*O158^$B$8*EXP(-$B$9/1.987/O158)</f>
        <v>1533709527367586.2</v>
      </c>
      <c r="N158" s="26">
        <f>10000/O158</f>
        <v>7.1428571428571432</v>
      </c>
      <c r="O158" s="39">
        <v>1400</v>
      </c>
      <c r="P158" s="30"/>
      <c r="Q158" s="27">
        <f>L158/(1+L158/M158/K158)*D158</f>
        <v>1010858302685.1353</v>
      </c>
      <c r="R158" s="33"/>
      <c r="S158" s="20"/>
    </row>
    <row r="159" spans="4:20" ht="15.75">
      <c r="D159" s="2">
        <f t="shared" si="119"/>
        <v>0.80379212660557575</v>
      </c>
      <c r="E159" s="2">
        <f>LOG(J159)/(1+(F159/(I159-0.14*F159))^2)</f>
        <v>-9.4856252172970126E-2</v>
      </c>
      <c r="F159" s="2">
        <f>LOG(G159)+H159</f>
        <v>-2.3072376145061835</v>
      </c>
      <c r="G159" s="6">
        <f>M159*K159/L159</f>
        <v>7.5107949758092835E-3</v>
      </c>
      <c r="H159" s="2">
        <f>-0.4-0.67*LOG(J159)</f>
        <v>-0.18292352159490449</v>
      </c>
      <c r="I159" s="2">
        <f>0.75-1.27*LOG(J159)</f>
        <v>1.1614733247380169</v>
      </c>
      <c r="J159" s="4">
        <f t="shared" si="128"/>
        <v>0.47424772487721328</v>
      </c>
      <c r="K159" s="6">
        <f>$P$146*101325/760/8.314/O159/1000000</f>
        <v>6.7707080426589682E-4</v>
      </c>
      <c r="L159" s="9">
        <f t="shared" si="129"/>
        <v>101779852540394.17</v>
      </c>
      <c r="M159" s="6">
        <f>$B$7*O159^$B$8*EXP(-$B$9/1.987/O159)</f>
        <v>1129051201562061.7</v>
      </c>
      <c r="N159" s="2">
        <f>10000/O159</f>
        <v>5.5555555555555554</v>
      </c>
      <c r="O159" s="12">
        <v>1800</v>
      </c>
      <c r="P159" s="13"/>
      <c r="Q159" s="6">
        <f>L159/(1+L159/M159/K159)*D159</f>
        <v>609876310254.14453</v>
      </c>
    </row>
    <row r="160" spans="4:20">
      <c r="D160" s="2" t="s">
        <v>4</v>
      </c>
      <c r="E160" s="2" t="s">
        <v>5</v>
      </c>
      <c r="F160" t="s">
        <v>6</v>
      </c>
      <c r="G160" t="s">
        <v>7</v>
      </c>
      <c r="H160" t="s">
        <v>8</v>
      </c>
      <c r="I160" t="s">
        <v>9</v>
      </c>
      <c r="J160" t="s">
        <v>10</v>
      </c>
      <c r="K160" t="s">
        <v>11</v>
      </c>
      <c r="L160" t="s">
        <v>12</v>
      </c>
      <c r="M160" t="s">
        <v>13</v>
      </c>
      <c r="N160" t="s">
        <v>14</v>
      </c>
      <c r="P160">
        <f>760*300</f>
        <v>228000</v>
      </c>
      <c r="Q160" t="s">
        <v>16</v>
      </c>
      <c r="R160" s="6"/>
    </row>
    <row r="161" spans="4:20" ht="15.75">
      <c r="D161" s="37">
        <f t="shared" ref="D161:D173" si="130">10^E161</f>
        <v>0.47852791662418381</v>
      </c>
      <c r="E161" s="37">
        <f t="shared" ref="E161:E171" si="131">LOG(J161)/(1+(F161/(I161-0.14*F161))^2)</f>
        <v>-0.32009272103827618</v>
      </c>
      <c r="F161" s="37">
        <f t="shared" ref="F161:F171" si="132">LOG(G161)+H161</f>
        <v>0.1262858109629133</v>
      </c>
      <c r="G161" s="20">
        <f t="shared" ref="G161:G171" si="133">M161*K161/L161</f>
        <v>2.038024180935472</v>
      </c>
      <c r="H161" s="37">
        <f>-0.4-0.67*LOG(J161)</f>
        <v>-0.18292352159490449</v>
      </c>
      <c r="I161" s="37">
        <f t="shared" ref="I161:I171" si="134">0.75-1.27*LOG(J161)</f>
        <v>1.1614733247380169</v>
      </c>
      <c r="J161" s="20">
        <f>(1-$B$10)*EXP(-O161/$B$11)+$B$10*EXP(-O161/$B$12)+EXP(-B$13/O161)</f>
        <v>0.47424772487721328</v>
      </c>
      <c r="K161" s="20">
        <f>$P$160*101325/760/8.314/O161/1000000</f>
        <v>1.2187274476786143E-2</v>
      </c>
      <c r="L161" s="38">
        <f>B$4*O161^B$5*EXP(-B$6/1.987/O161)</f>
        <v>48271057302442.148</v>
      </c>
      <c r="M161" s="20">
        <f t="shared" ref="M161:M171" si="135">$B$7*O161^$B$8*EXP(-$B$9/1.987/O161)</f>
        <v>8072156100946505</v>
      </c>
      <c r="N161" s="37">
        <f t="shared" ref="N161:N171" si="136">10000/O161</f>
        <v>33.333333333333336</v>
      </c>
      <c r="O161" s="39">
        <v>300</v>
      </c>
      <c r="P161" s="40"/>
      <c r="Q161" s="20">
        <f t="shared" ref="Q161:Q171" si="137">L161/(1+L161/M161/K161)*D161</f>
        <v>15495735571424.09</v>
      </c>
      <c r="R161" s="20">
        <f>0.000000000033*6.02E+23</f>
        <v>19866000000000</v>
      </c>
      <c r="S161" s="20">
        <f>(R161-Q161)^2/Q161^2</f>
        <v>7.9540998265472201E-2</v>
      </c>
      <c r="T161" s="20"/>
    </row>
    <row r="162" spans="4:20" ht="15.75">
      <c r="D162" s="37">
        <f t="shared" si="130"/>
        <v>0.47954288810936324</v>
      </c>
      <c r="E162" s="37">
        <f t="shared" si="131"/>
        <v>-0.31917254545620405</v>
      </c>
      <c r="F162" s="37">
        <f t="shared" si="132"/>
        <v>-0.14526384395954328</v>
      </c>
      <c r="G162" s="20">
        <f t="shared" si="133"/>
        <v>1.0905853956772256</v>
      </c>
      <c r="H162" s="37">
        <f t="shared" ref="H162:H171" si="138">-0.4-0.67*LOG(J162)</f>
        <v>-0.18292352159490449</v>
      </c>
      <c r="I162" s="37">
        <f t="shared" si="134"/>
        <v>1.1614733247380169</v>
      </c>
      <c r="J162" s="20">
        <f t="shared" ref="J162:J173" si="139">(1-$B$10)*EXP(-O162/$B$11)+$B$10*EXP(-O162/$B$12)+EXP(-B$13/O162)</f>
        <v>0.47424772487721328</v>
      </c>
      <c r="K162" s="20">
        <f t="shared" ref="K162:K173" si="140">$P$160*101325/760/8.314/O162/1000000</f>
        <v>9.1404558575896074E-3</v>
      </c>
      <c r="L162" s="38">
        <f t="shared" ref="L162:L173" si="141">B$4*O162^B$5*EXP(-B$6/1.987/O162)</f>
        <v>51915144096005.555</v>
      </c>
      <c r="M162" s="20">
        <f t="shared" si="135"/>
        <v>6194209440721797</v>
      </c>
      <c r="N162" s="37">
        <f t="shared" si="136"/>
        <v>25</v>
      </c>
      <c r="O162" s="39">
        <v>400</v>
      </c>
      <c r="P162" s="40"/>
      <c r="Q162" s="20">
        <f t="shared" si="137"/>
        <v>12987132869691.461</v>
      </c>
      <c r="R162" s="20">
        <f>0.000000000025*6.02E+23</f>
        <v>15050000000000</v>
      </c>
      <c r="S162" s="20">
        <f>(R162-Q162)^2/Q162^2</f>
        <v>2.5229924111930084E-2</v>
      </c>
      <c r="T162" s="20"/>
    </row>
    <row r="163" spans="4:20" ht="15.75">
      <c r="D163" s="37">
        <f t="shared" si="130"/>
        <v>0.50562915904886219</v>
      </c>
      <c r="E163" s="37">
        <f t="shared" si="131"/>
        <v>-0.29616788874295108</v>
      </c>
      <c r="F163" s="37">
        <f t="shared" si="132"/>
        <v>-0.37198120921940458</v>
      </c>
      <c r="G163" s="20">
        <f t="shared" si="133"/>
        <v>0.64705666107392013</v>
      </c>
      <c r="H163" s="37">
        <f t="shared" si="138"/>
        <v>-0.18292352159490449</v>
      </c>
      <c r="I163" s="37">
        <f t="shared" si="134"/>
        <v>1.1614733247380169</v>
      </c>
      <c r="J163" s="20">
        <f t="shared" si="139"/>
        <v>0.47424772487721328</v>
      </c>
      <c r="K163" s="20">
        <f t="shared" si="140"/>
        <v>7.3123646860716865E-3</v>
      </c>
      <c r="L163" s="38">
        <f t="shared" si="141"/>
        <v>55914419404048.281</v>
      </c>
      <c r="M163" s="20">
        <f t="shared" si="135"/>
        <v>4947756174467637</v>
      </c>
      <c r="N163" s="37">
        <f t="shared" si="136"/>
        <v>20</v>
      </c>
      <c r="O163" s="39">
        <v>500</v>
      </c>
      <c r="P163" s="40"/>
      <c r="Q163" s="20">
        <f t="shared" si="137"/>
        <v>11106819230756.648</v>
      </c>
      <c r="R163" s="20">
        <f>0.000000000019*6.02E+23</f>
        <v>11438000000000</v>
      </c>
      <c r="S163" s="20">
        <f>(R163-Q163)^2/Q163^2</f>
        <v>8.8910041713776181E-4</v>
      </c>
      <c r="T163" s="20"/>
    </row>
    <row r="164" spans="4:20" ht="15.75">
      <c r="D164" s="37">
        <f t="shared" si="130"/>
        <v>0.53918535737877193</v>
      </c>
      <c r="E164" s="37">
        <f t="shared" si="131"/>
        <v>-0.26826191041922665</v>
      </c>
      <c r="F164" s="37">
        <f t="shared" si="132"/>
        <v>-0.56548663252257603</v>
      </c>
      <c r="G164" s="20">
        <f t="shared" si="133"/>
        <v>0.41441635738924615</v>
      </c>
      <c r="H164" s="37">
        <f t="shared" si="138"/>
        <v>-0.18292352159490449</v>
      </c>
      <c r="I164" s="37">
        <f t="shared" si="134"/>
        <v>1.1614733247380169</v>
      </c>
      <c r="J164" s="20">
        <f t="shared" si="139"/>
        <v>0.47424772487721328</v>
      </c>
      <c r="K164" s="20">
        <f t="shared" si="140"/>
        <v>6.0936372383930716E-3</v>
      </c>
      <c r="L164" s="38">
        <f t="shared" si="141"/>
        <v>59954213423504.078</v>
      </c>
      <c r="M164" s="20">
        <f t="shared" si="135"/>
        <v>4077368862813705</v>
      </c>
      <c r="N164" s="37">
        <f t="shared" si="136"/>
        <v>16.666666666666668</v>
      </c>
      <c r="O164" s="39">
        <v>600</v>
      </c>
      <c r="P164" s="40"/>
      <c r="Q164" s="20">
        <f t="shared" si="137"/>
        <v>9471470654305.4648</v>
      </c>
      <c r="R164" s="20">
        <f>0.000000000013*6.02E+23</f>
        <v>7826000000000</v>
      </c>
      <c r="S164" s="20">
        <f>(R164-Q164)^2/Q164^2</f>
        <v>3.0181821532055945E-2</v>
      </c>
      <c r="T164" s="20"/>
    </row>
    <row r="165" spans="4:20" ht="15.75">
      <c r="D165" s="2">
        <f t="shared" si="130"/>
        <v>0.57236110804142393</v>
      </c>
      <c r="E165" s="2">
        <f t="shared" si="131"/>
        <v>-0.24232988423588839</v>
      </c>
      <c r="F165" s="2">
        <f t="shared" si="132"/>
        <v>-0.7338993737421533</v>
      </c>
      <c r="G165" s="6">
        <f t="shared" si="133"/>
        <v>0.28120571834216251</v>
      </c>
      <c r="H165" s="2">
        <f t="shared" si="138"/>
        <v>-0.18292352159490449</v>
      </c>
      <c r="I165" s="2">
        <f t="shared" si="134"/>
        <v>1.1614733247380169</v>
      </c>
      <c r="J165" s="4">
        <f t="shared" si="139"/>
        <v>0.47424772487721328</v>
      </c>
      <c r="K165" s="6">
        <f t="shared" si="140"/>
        <v>5.2231176329083475E-3</v>
      </c>
      <c r="L165" s="9">
        <f t="shared" si="141"/>
        <v>63935043186733.742</v>
      </c>
      <c r="M165" s="6">
        <f t="shared" si="135"/>
        <v>3442177835185304</v>
      </c>
      <c r="N165" s="2">
        <f t="shared" si="136"/>
        <v>14.285714285714286</v>
      </c>
      <c r="O165" s="12">
        <v>700</v>
      </c>
      <c r="P165" s="13"/>
      <c r="Q165" s="6">
        <f t="shared" si="137"/>
        <v>8031827233509.1797</v>
      </c>
      <c r="R165" s="6"/>
    </row>
    <row r="166" spans="4:20" ht="15.75">
      <c r="D166" s="2">
        <f t="shared" si="130"/>
        <v>0.60240381397580323</v>
      </c>
      <c r="E166" s="2">
        <f t="shared" si="131"/>
        <v>-0.22011228716691442</v>
      </c>
      <c r="F166" s="2">
        <f t="shared" si="132"/>
        <v>-0.88282663600965927</v>
      </c>
      <c r="G166" s="6">
        <f t="shared" si="133"/>
        <v>0.19957074823138654</v>
      </c>
      <c r="H166" s="2">
        <f t="shared" si="138"/>
        <v>-0.18292352159490449</v>
      </c>
      <c r="I166" s="2">
        <f t="shared" si="134"/>
        <v>1.1614733247380169</v>
      </c>
      <c r="J166" s="4">
        <f t="shared" si="139"/>
        <v>0.47424772487721328</v>
      </c>
      <c r="K166" s="6">
        <f t="shared" si="140"/>
        <v>4.5702279287948037E-3</v>
      </c>
      <c r="L166" s="9">
        <f t="shared" si="141"/>
        <v>67823786331033.422</v>
      </c>
      <c r="M166" s="6">
        <f t="shared" si="135"/>
        <v>2961699940759728.5</v>
      </c>
      <c r="N166" s="2">
        <f t="shared" si="136"/>
        <v>12.5</v>
      </c>
      <c r="O166" s="12">
        <v>800</v>
      </c>
      <c r="P166" s="13"/>
      <c r="Q166" s="6">
        <f t="shared" si="137"/>
        <v>6797367686156.1855</v>
      </c>
      <c r="R166" s="6"/>
    </row>
    <row r="167" spans="4:20" ht="15.75">
      <c r="D167" s="2">
        <f t="shared" si="130"/>
        <v>0.62872110354853417</v>
      </c>
      <c r="E167" s="2">
        <f t="shared" si="131"/>
        <v>-0.20154196194843316</v>
      </c>
      <c r="F167" s="2">
        <f t="shared" si="132"/>
        <v>-1.0162363201286944</v>
      </c>
      <c r="G167" s="6">
        <f t="shared" si="133"/>
        <v>0.14678686713966449</v>
      </c>
      <c r="H167" s="2">
        <f t="shared" si="138"/>
        <v>-0.18292352159490449</v>
      </c>
      <c r="I167" s="2">
        <f t="shared" si="134"/>
        <v>1.1614733247380169</v>
      </c>
      <c r="J167" s="4">
        <f t="shared" si="139"/>
        <v>0.47424772487721328</v>
      </c>
      <c r="K167" s="6">
        <f t="shared" si="140"/>
        <v>4.0624248255953814E-3</v>
      </c>
      <c r="L167" s="9">
        <f t="shared" si="141"/>
        <v>71611384152110.969</v>
      </c>
      <c r="M167" s="6">
        <f t="shared" si="135"/>
        <v>2587521291469763</v>
      </c>
      <c r="N167" s="2">
        <f t="shared" si="136"/>
        <v>11.111111111111111</v>
      </c>
      <c r="O167" s="12">
        <v>900</v>
      </c>
      <c r="P167" s="13"/>
      <c r="Q167" s="6">
        <f t="shared" si="137"/>
        <v>5762946619271.4111</v>
      </c>
      <c r="R167" s="6"/>
    </row>
    <row r="168" spans="4:20" ht="15.75">
      <c r="D168" s="2">
        <f t="shared" si="130"/>
        <v>0.6515205480029117</v>
      </c>
      <c r="E168" s="2">
        <f t="shared" si="131"/>
        <v>-0.1860718827241454</v>
      </c>
      <c r="F168" s="2">
        <f t="shared" si="132"/>
        <v>-1.1370182104082966</v>
      </c>
      <c r="G168" s="6">
        <f t="shared" si="133"/>
        <v>0.11114893638911158</v>
      </c>
      <c r="H168" s="2">
        <f t="shared" si="138"/>
        <v>-0.18292352159490449</v>
      </c>
      <c r="I168" s="2">
        <f t="shared" si="134"/>
        <v>1.1614733247380169</v>
      </c>
      <c r="J168" s="4">
        <f t="shared" si="139"/>
        <v>0.47424772487721328</v>
      </c>
      <c r="K168" s="6">
        <f t="shared" si="140"/>
        <v>3.6561823430358432E-3</v>
      </c>
      <c r="L168" s="9">
        <f t="shared" si="141"/>
        <v>75298240556451.203</v>
      </c>
      <c r="M168" s="6">
        <f t="shared" si="135"/>
        <v>2289086966836481</v>
      </c>
      <c r="N168" s="2">
        <f t="shared" si="136"/>
        <v>10</v>
      </c>
      <c r="O168" s="12">
        <v>1000</v>
      </c>
      <c r="P168" s="13"/>
      <c r="Q168" s="6">
        <f t="shared" si="137"/>
        <v>4907338117000.4189</v>
      </c>
    </row>
    <row r="169" spans="4:20" ht="15.75">
      <c r="D169" s="2">
        <f t="shared" si="130"/>
        <v>0.67124860076860093</v>
      </c>
      <c r="E169" s="2">
        <f t="shared" si="131"/>
        <v>-0.17311660658714975</v>
      </c>
      <c r="F169" s="2">
        <f t="shared" si="132"/>
        <v>-1.2473340746411405</v>
      </c>
      <c r="G169" s="6">
        <f t="shared" si="133"/>
        <v>8.6216313086885127E-2</v>
      </c>
      <c r="H169" s="2">
        <f t="shared" si="138"/>
        <v>-0.18292352159490449</v>
      </c>
      <c r="I169" s="2">
        <f t="shared" si="134"/>
        <v>1.1614733247380169</v>
      </c>
      <c r="J169" s="4">
        <f t="shared" si="139"/>
        <v>0.47424772487721328</v>
      </c>
      <c r="K169" s="6">
        <f t="shared" si="140"/>
        <v>3.3238021300325848E-3</v>
      </c>
      <c r="L169" s="9">
        <f t="shared" si="141"/>
        <v>78888524675193.109</v>
      </c>
      <c r="M169" s="6">
        <f t="shared" si="135"/>
        <v>2046294417138554</v>
      </c>
      <c r="N169" s="2">
        <f t="shared" si="136"/>
        <v>9.0909090909090917</v>
      </c>
      <c r="O169" s="12">
        <v>1100</v>
      </c>
      <c r="P169" s="13"/>
      <c r="Q169" s="6">
        <f t="shared" si="137"/>
        <v>4203106105765.1553</v>
      </c>
    </row>
    <row r="170" spans="4:20" ht="15.75">
      <c r="D170" s="2">
        <f t="shared" si="130"/>
        <v>0.68837650825378205</v>
      </c>
      <c r="E170" s="2">
        <f t="shared" si="131"/>
        <v>-0.16217395895725301</v>
      </c>
      <c r="F170" s="2">
        <f t="shared" si="132"/>
        <v>-1.3488397731373194</v>
      </c>
      <c r="G170" s="6">
        <f t="shared" si="133"/>
        <v>6.8247028762435227E-2</v>
      </c>
      <c r="H170" s="2">
        <f t="shared" si="138"/>
        <v>-0.18292352159490449</v>
      </c>
      <c r="I170" s="2">
        <f t="shared" si="134"/>
        <v>1.1614733247380169</v>
      </c>
      <c r="J170" s="4">
        <f t="shared" si="139"/>
        <v>0.47424772487721328</v>
      </c>
      <c r="K170" s="6">
        <f t="shared" si="140"/>
        <v>3.0468186191965358E-3</v>
      </c>
      <c r="L170" s="9">
        <f t="shared" si="141"/>
        <v>82387769635664.406</v>
      </c>
      <c r="M170" s="6">
        <f t="shared" si="135"/>
        <v>1845439846196299.5</v>
      </c>
      <c r="N170" s="2">
        <f t="shared" si="136"/>
        <v>8.3333333333333339</v>
      </c>
      <c r="O170" s="12">
        <v>1200</v>
      </c>
      <c r="P170" s="13"/>
      <c r="Q170" s="6">
        <f t="shared" si="137"/>
        <v>3623271199869.9814</v>
      </c>
    </row>
    <row r="171" spans="4:20" ht="15.75">
      <c r="D171" s="2">
        <f t="shared" si="130"/>
        <v>0.70332764357349475</v>
      </c>
      <c r="E171" s="2">
        <f t="shared" si="131"/>
        <v>-0.15284231275082699</v>
      </c>
      <c r="F171" s="2">
        <f t="shared" si="132"/>
        <v>-1.4428300291365992</v>
      </c>
      <c r="G171" s="6">
        <f t="shared" si="133"/>
        <v>5.4965918864159927E-2</v>
      </c>
      <c r="H171" s="2">
        <f t="shared" si="138"/>
        <v>-0.18292352159490449</v>
      </c>
      <c r="I171" s="2">
        <f t="shared" si="134"/>
        <v>1.1614733247380169</v>
      </c>
      <c r="J171" s="4">
        <f t="shared" si="139"/>
        <v>0.47424772487721328</v>
      </c>
      <c r="K171" s="6">
        <f t="shared" si="140"/>
        <v>2.8124479561814179E-3</v>
      </c>
      <c r="L171" s="9">
        <f t="shared" si="141"/>
        <v>85801817887422.609</v>
      </c>
      <c r="M171" s="6">
        <f t="shared" si="135"/>
        <v>1676893522609695.7</v>
      </c>
      <c r="N171" s="2">
        <f t="shared" si="136"/>
        <v>7.6923076923076925</v>
      </c>
      <c r="O171" s="12">
        <v>1300</v>
      </c>
      <c r="P171" s="13"/>
      <c r="Q171" s="6">
        <f t="shared" si="137"/>
        <v>3144193309874.9839</v>
      </c>
    </row>
    <row r="172" spans="4:20" ht="15.75">
      <c r="D172" s="2">
        <f t="shared" si="130"/>
        <v>0.72806868930688295</v>
      </c>
      <c r="E172" s="2">
        <f>LOG(J172)/(1+(F172/(I172-0.14*F172))^2)</f>
        <v>-0.13782764544014067</v>
      </c>
      <c r="F172" s="2">
        <f>LOG(G172)+H172</f>
        <v>-1.6121894172488815</v>
      </c>
      <c r="G172" s="6">
        <f>M172*K172/L172</f>
        <v>3.7216378019281043E-2</v>
      </c>
      <c r="H172" s="2">
        <f>-0.4-0.67*LOG(J172)</f>
        <v>-0.18292352159490449</v>
      </c>
      <c r="I172" s="2">
        <f>0.75-1.27*LOG(J172)</f>
        <v>1.1614733247380169</v>
      </c>
      <c r="J172" s="4">
        <f t="shared" si="139"/>
        <v>0.47424772487721328</v>
      </c>
      <c r="K172" s="6">
        <f t="shared" si="140"/>
        <v>2.4374548953572288E-3</v>
      </c>
      <c r="L172" s="9">
        <f t="shared" si="141"/>
        <v>92396720595423.437</v>
      </c>
      <c r="M172" s="6">
        <f>$B$7*O172^$B$8*EXP(-$B$9/1.987/O172)</f>
        <v>1410763041388383.7</v>
      </c>
      <c r="N172" s="2">
        <f>10000/O172</f>
        <v>6.666666666666667</v>
      </c>
      <c r="O172" s="12">
        <v>1500</v>
      </c>
      <c r="P172" s="13"/>
      <c r="Q172" s="6">
        <f>L172/(1+L172/M172/K172)*D172</f>
        <v>2413757578339.1558</v>
      </c>
    </row>
    <row r="173" spans="4:20" ht="15.75">
      <c r="D173" s="2">
        <f t="shared" si="130"/>
        <v>0.75594915967760457</v>
      </c>
      <c r="E173" s="2">
        <f>LOG(J173)/(1+(F173/(I173-0.14*F173))^2)</f>
        <v>-0.12150741139552211</v>
      </c>
      <c r="F173" s="2">
        <f>LOG(G173)+H173</f>
        <v>-1.8301163597865213</v>
      </c>
      <c r="G173" s="6">
        <f>M173*K173/L173</f>
        <v>2.2532384927427856E-2</v>
      </c>
      <c r="H173" s="2">
        <f>-0.4-0.67*LOG(J173)</f>
        <v>-0.18292352159490449</v>
      </c>
      <c r="I173" s="2">
        <f>0.75-1.27*LOG(J173)</f>
        <v>1.1614733247380169</v>
      </c>
      <c r="J173" s="4">
        <f t="shared" si="139"/>
        <v>0.47424772487721328</v>
      </c>
      <c r="K173" s="6">
        <f t="shared" si="140"/>
        <v>2.0312124127976907E-3</v>
      </c>
      <c r="L173" s="9">
        <f t="shared" si="141"/>
        <v>101779852540394.17</v>
      </c>
      <c r="M173" s="6">
        <f>$B$7*O173^$B$8*EXP(-$B$9/1.987/O173)</f>
        <v>1129051201562061.7</v>
      </c>
      <c r="N173" s="2">
        <f>10000/O173</f>
        <v>5.5555555555555554</v>
      </c>
      <c r="O173" s="12">
        <v>1800</v>
      </c>
      <c r="P173" s="13"/>
      <c r="Q173" s="6">
        <f>L173/(1+L173/M173/K173)*D173</f>
        <v>1695448085196.3303</v>
      </c>
    </row>
    <row r="174" spans="4:20">
      <c r="D174" s="2" t="s">
        <v>4</v>
      </c>
      <c r="E174" s="2" t="s">
        <v>5</v>
      </c>
      <c r="F174" t="s">
        <v>6</v>
      </c>
      <c r="G174" t="s">
        <v>7</v>
      </c>
      <c r="H174" t="s">
        <v>8</v>
      </c>
      <c r="I174" t="s">
        <v>9</v>
      </c>
      <c r="J174" t="s">
        <v>10</v>
      </c>
      <c r="K174" t="s">
        <v>11</v>
      </c>
      <c r="L174" t="s">
        <v>12</v>
      </c>
      <c r="M174" t="s">
        <v>13</v>
      </c>
      <c r="N174" t="s">
        <v>14</v>
      </c>
      <c r="P174">
        <f>760*900</f>
        <v>684000</v>
      </c>
      <c r="Q174" t="s">
        <v>16</v>
      </c>
      <c r="R174" s="6"/>
    </row>
    <row r="175" spans="4:20" ht="15.75">
      <c r="D175" s="37">
        <f t="shared" ref="D175:D187" si="142">10^E175</f>
        <v>0.56677414312457164</v>
      </c>
      <c r="E175" s="37">
        <f t="shared" ref="E175:E185" si="143">LOG(J175)/(1+(F175/(I175-0.14*F175))^2)</f>
        <v>-0.24658997097656221</v>
      </c>
      <c r="F175" s="37">
        <f t="shared" ref="F175:F185" si="144">LOG(G175)+H175</f>
        <v>0.60340706568257585</v>
      </c>
      <c r="G175" s="20">
        <f t="shared" ref="G175:G185" si="145">M175*K175/L175</f>
        <v>6.114072542806416</v>
      </c>
      <c r="H175" s="37">
        <f>-0.4-0.67*LOG(J175)</f>
        <v>-0.18292352159490449</v>
      </c>
      <c r="I175" s="37">
        <f t="shared" ref="I175:I185" si="146">0.75-1.27*LOG(J175)</f>
        <v>1.1614733247380169</v>
      </c>
      <c r="J175" s="20">
        <f>(1-$B$10)*EXP(-O175/$B$11)+$B$10*EXP(-O175/$B$12)+EXP(-B$13/O175)</f>
        <v>0.47424772487721328</v>
      </c>
      <c r="K175" s="20">
        <f>$P$174*101325/760/8.314/O175/1000000</f>
        <v>3.656182343035843E-2</v>
      </c>
      <c r="L175" s="38">
        <f>B$4*O175^B$5*EXP(-B$6/1.987/O175)</f>
        <v>48271057302442.148</v>
      </c>
      <c r="M175" s="20">
        <f t="shared" ref="M175:M185" si="147">$B$7*O175^$B$8*EXP(-$B$9/1.987/O175)</f>
        <v>8072156100946505</v>
      </c>
      <c r="N175" s="37">
        <f t="shared" ref="N175:N185" si="148">10000/O175</f>
        <v>33.333333333333336</v>
      </c>
      <c r="O175" s="39">
        <v>300</v>
      </c>
      <c r="P175" s="40"/>
      <c r="Q175" s="20">
        <f t="shared" ref="Q175:Q185" si="149">L175/(1+L175/M175/K175)*D175</f>
        <v>23513059257202.844</v>
      </c>
      <c r="R175" s="20">
        <f>0.000000000048*6.02E+23</f>
        <v>28896000000000</v>
      </c>
      <c r="S175" s="20">
        <f>(R175-Q175)^2/Q175^2</f>
        <v>5.2410815979680898E-2</v>
      </c>
      <c r="T175" s="20"/>
    </row>
    <row r="176" spans="4:20" ht="15.75">
      <c r="D176" s="37">
        <f t="shared" si="142"/>
        <v>0.50392949999012215</v>
      </c>
      <c r="E176" s="37">
        <f t="shared" si="143"/>
        <v>-0.29763021733797701</v>
      </c>
      <c r="F176" s="37">
        <f t="shared" si="144"/>
        <v>0.33185741076011915</v>
      </c>
      <c r="G176" s="20">
        <f t="shared" si="145"/>
        <v>3.2717561870316767</v>
      </c>
      <c r="H176" s="37">
        <f t="shared" ref="H176:H185" si="150">-0.4-0.67*LOG(J176)</f>
        <v>-0.18292352159490449</v>
      </c>
      <c r="I176" s="37">
        <f t="shared" si="146"/>
        <v>1.1614733247380169</v>
      </c>
      <c r="J176" s="20">
        <f t="shared" ref="J176:J187" si="151">(1-$B$10)*EXP(-O176/$B$11)+$B$10*EXP(-O176/$B$12)+EXP(-B$13/O176)</f>
        <v>0.47424772487721328</v>
      </c>
      <c r="K176" s="20">
        <f t="shared" ref="K176:K187" si="152">$P$174*101325/760/8.314/O176/1000000</f>
        <v>2.7421367572768824E-2</v>
      </c>
      <c r="L176" s="38">
        <f t="shared" ref="L176:L187" si="153">B$4*O176^B$5*EXP(-B$6/1.987/O176)</f>
        <v>51915144096005.555</v>
      </c>
      <c r="M176" s="20">
        <f t="shared" si="147"/>
        <v>6194209440721797</v>
      </c>
      <c r="N176" s="37">
        <f t="shared" si="148"/>
        <v>25</v>
      </c>
      <c r="O176" s="39">
        <v>400</v>
      </c>
      <c r="P176" s="40"/>
      <c r="Q176" s="20">
        <f t="shared" si="149"/>
        <v>20037259452379.969</v>
      </c>
      <c r="R176" s="20">
        <f>0.000000000042*6.02E+23</f>
        <v>25284000000000</v>
      </c>
      <c r="S176" s="20">
        <f>(R176-Q176)^2/Q176^2</f>
        <v>6.8565008501868682E-2</v>
      </c>
      <c r="T176" s="20"/>
    </row>
    <row r="177" spans="4:24" ht="15.75">
      <c r="D177" s="37">
        <f t="shared" si="142"/>
        <v>0.47720621796740331</v>
      </c>
      <c r="E177" s="37">
        <f t="shared" si="143"/>
        <v>-0.32129390613468267</v>
      </c>
      <c r="F177" s="37">
        <f t="shared" si="144"/>
        <v>0.10514004550025785</v>
      </c>
      <c r="G177" s="20">
        <f t="shared" si="145"/>
        <v>1.9411699832217604</v>
      </c>
      <c r="H177" s="37">
        <f t="shared" si="150"/>
        <v>-0.18292352159490449</v>
      </c>
      <c r="I177" s="37">
        <f t="shared" si="146"/>
        <v>1.1614733247380169</v>
      </c>
      <c r="J177" s="20">
        <f t="shared" si="151"/>
        <v>0.47424772487721328</v>
      </c>
      <c r="K177" s="20">
        <f t="shared" si="152"/>
        <v>2.1937094058215059E-2</v>
      </c>
      <c r="L177" s="38">
        <f t="shared" si="153"/>
        <v>55914419404048.281</v>
      </c>
      <c r="M177" s="20">
        <f t="shared" si="147"/>
        <v>4947756174467637</v>
      </c>
      <c r="N177" s="37">
        <f t="shared" si="148"/>
        <v>20</v>
      </c>
      <c r="O177" s="39">
        <v>500</v>
      </c>
      <c r="P177" s="40"/>
      <c r="Q177" s="20">
        <f t="shared" si="149"/>
        <v>17610567674545.371</v>
      </c>
      <c r="R177" s="20">
        <f>0.000000000029*6.02E+23</f>
        <v>17458000000000</v>
      </c>
      <c r="S177" s="20">
        <f>(R177-Q177)^2/Q177^2</f>
        <v>7.5054777561046193E-5</v>
      </c>
      <c r="T177" s="20"/>
    </row>
    <row r="178" spans="4:24" ht="15.75">
      <c r="D178" s="37">
        <f t="shared" si="142"/>
        <v>0.47624556663570988</v>
      </c>
      <c r="E178" s="37">
        <f t="shared" si="143"/>
        <v>-0.32216905413965052</v>
      </c>
      <c r="F178" s="37">
        <f t="shared" si="144"/>
        <v>-8.8365377802913536E-2</v>
      </c>
      <c r="G178" s="20">
        <f t="shared" si="145"/>
        <v>1.2432490721677385</v>
      </c>
      <c r="H178" s="37">
        <f t="shared" si="150"/>
        <v>-0.18292352159490449</v>
      </c>
      <c r="I178" s="37">
        <f t="shared" si="146"/>
        <v>1.1614733247380169</v>
      </c>
      <c r="J178" s="20">
        <f t="shared" si="151"/>
        <v>0.47424772487721328</v>
      </c>
      <c r="K178" s="20">
        <f t="shared" si="152"/>
        <v>1.8280911715179215E-2</v>
      </c>
      <c r="L178" s="38">
        <f t="shared" si="153"/>
        <v>59954213423504.078</v>
      </c>
      <c r="M178" s="20">
        <f t="shared" si="147"/>
        <v>4077368862813705</v>
      </c>
      <c r="N178" s="37">
        <f t="shared" si="148"/>
        <v>16.666666666666668</v>
      </c>
      <c r="O178" s="39">
        <v>600</v>
      </c>
      <c r="P178" s="40"/>
      <c r="Q178" s="20">
        <f t="shared" si="149"/>
        <v>15824547577830.785</v>
      </c>
      <c r="R178" s="20">
        <f>0.000000000022*6.02E+23</f>
        <v>13244000000000</v>
      </c>
      <c r="S178" s="20">
        <f>(R178-Q178)^2/Q178^2</f>
        <v>2.65926205312846E-2</v>
      </c>
      <c r="T178" s="20"/>
    </row>
    <row r="179" spans="4:24" ht="15.75">
      <c r="D179" s="37">
        <f t="shared" si="142"/>
        <v>0.4900600628784969</v>
      </c>
      <c r="E179" s="37">
        <f t="shared" si="143"/>
        <v>-0.3097506885875761</v>
      </c>
      <c r="F179" s="37">
        <f t="shared" si="144"/>
        <v>-0.25677811902249081</v>
      </c>
      <c r="G179" s="20">
        <f t="shared" si="145"/>
        <v>0.8436171550264876</v>
      </c>
      <c r="H179" s="37">
        <f t="shared" si="150"/>
        <v>-0.18292352159490449</v>
      </c>
      <c r="I179" s="37">
        <f t="shared" si="146"/>
        <v>1.1614733247380169</v>
      </c>
      <c r="J179" s="20">
        <f t="shared" si="151"/>
        <v>0.47424772487721328</v>
      </c>
      <c r="K179" s="20">
        <f t="shared" si="152"/>
        <v>1.5669352898725043E-2</v>
      </c>
      <c r="L179" s="38">
        <f t="shared" si="153"/>
        <v>63935043186733.742</v>
      </c>
      <c r="M179" s="20">
        <f t="shared" si="147"/>
        <v>3442177835185304</v>
      </c>
      <c r="N179" s="37">
        <f t="shared" si="148"/>
        <v>14.285714285714286</v>
      </c>
      <c r="O179" s="39">
        <v>700</v>
      </c>
      <c r="P179" s="40"/>
      <c r="Q179" s="20">
        <f t="shared" si="149"/>
        <v>14337153540144.994</v>
      </c>
      <c r="R179" s="20">
        <f>0.000000000021*6.02E+23</f>
        <v>12642000000000</v>
      </c>
      <c r="S179" s="20">
        <f>(R179-Q179)^2/Q179^2</f>
        <v>1.3979518380636855E-2</v>
      </c>
      <c r="T179" s="20"/>
    </row>
    <row r="180" spans="4:24" ht="15.75">
      <c r="D180" s="2">
        <f t="shared" si="142"/>
        <v>0.51091589170273888</v>
      </c>
      <c r="E180" s="2">
        <f t="shared" si="143"/>
        <v>-0.29165058866345905</v>
      </c>
      <c r="F180" s="2">
        <f t="shared" si="144"/>
        <v>-0.40570538128999689</v>
      </c>
      <c r="G180" s="6">
        <f t="shared" si="145"/>
        <v>0.59871224469415973</v>
      </c>
      <c r="H180" s="2">
        <f t="shared" si="150"/>
        <v>-0.18292352159490449</v>
      </c>
      <c r="I180" s="2">
        <f t="shared" si="146"/>
        <v>1.1614733247380169</v>
      </c>
      <c r="J180" s="4">
        <f t="shared" si="151"/>
        <v>0.47424772487721328</v>
      </c>
      <c r="K180" s="6">
        <f t="shared" si="152"/>
        <v>1.3710683786384412E-2</v>
      </c>
      <c r="L180" s="9">
        <f t="shared" si="153"/>
        <v>67823786331033.422</v>
      </c>
      <c r="M180" s="6">
        <f t="shared" si="147"/>
        <v>2961699940759728.5</v>
      </c>
      <c r="N180" s="2">
        <f t="shared" si="148"/>
        <v>12.5</v>
      </c>
      <c r="O180" s="12">
        <v>800</v>
      </c>
      <c r="P180" s="13"/>
      <c r="Q180" s="6">
        <f t="shared" si="149"/>
        <v>12977148710090.398</v>
      </c>
      <c r="R180" s="6"/>
      <c r="S180" s="6"/>
      <c r="T180" s="6"/>
    </row>
    <row r="181" spans="4:24" ht="15.75">
      <c r="D181" s="2">
        <f t="shared" si="142"/>
        <v>0.53422726045273339</v>
      </c>
      <c r="E181" s="2">
        <f t="shared" si="143"/>
        <v>-0.2722739546483593</v>
      </c>
      <c r="F181" s="2">
        <f t="shared" si="144"/>
        <v>-0.53911506540903198</v>
      </c>
      <c r="G181" s="6">
        <f t="shared" si="145"/>
        <v>0.44036060141899341</v>
      </c>
      <c r="H181" s="2">
        <f t="shared" si="150"/>
        <v>-0.18292352159490449</v>
      </c>
      <c r="I181" s="2">
        <f t="shared" si="146"/>
        <v>1.1614733247380169</v>
      </c>
      <c r="J181" s="4">
        <f t="shared" si="151"/>
        <v>0.47424772487721328</v>
      </c>
      <c r="K181" s="6">
        <f t="shared" si="152"/>
        <v>1.2187274476786143E-2</v>
      </c>
      <c r="L181" s="9">
        <f t="shared" si="153"/>
        <v>71611384152110.969</v>
      </c>
      <c r="M181" s="6">
        <f t="shared" si="147"/>
        <v>2587521291469763</v>
      </c>
      <c r="N181" s="2">
        <f t="shared" si="148"/>
        <v>11.111111111111111</v>
      </c>
      <c r="O181" s="12">
        <v>900</v>
      </c>
      <c r="P181" s="13"/>
      <c r="Q181" s="6">
        <f t="shared" si="149"/>
        <v>11696214819444.672</v>
      </c>
      <c r="R181" s="6"/>
      <c r="S181" s="6"/>
      <c r="T181" s="6"/>
    </row>
    <row r="182" spans="4:24" ht="15.75">
      <c r="D182" s="2">
        <f t="shared" si="142"/>
        <v>0.55754677908106398</v>
      </c>
      <c r="E182" s="2">
        <f t="shared" si="143"/>
        <v>-0.25371868873812925</v>
      </c>
      <c r="F182" s="2">
        <f t="shared" si="144"/>
        <v>-0.65989695568863427</v>
      </c>
      <c r="G182" s="6">
        <f t="shared" si="145"/>
        <v>0.33344680916733477</v>
      </c>
      <c r="H182" s="2">
        <f t="shared" si="150"/>
        <v>-0.18292352159490449</v>
      </c>
      <c r="I182" s="2">
        <f t="shared" si="146"/>
        <v>1.1614733247380169</v>
      </c>
      <c r="J182" s="4">
        <f t="shared" si="151"/>
        <v>0.47424772487721328</v>
      </c>
      <c r="K182" s="6">
        <f t="shared" si="152"/>
        <v>1.0968547029107529E-2</v>
      </c>
      <c r="L182" s="9">
        <f t="shared" si="153"/>
        <v>75298240556451.203</v>
      </c>
      <c r="M182" s="6">
        <f t="shared" si="147"/>
        <v>2289086966836481</v>
      </c>
      <c r="N182" s="2">
        <f t="shared" si="148"/>
        <v>10</v>
      </c>
      <c r="O182" s="12">
        <v>1000</v>
      </c>
      <c r="P182" s="13"/>
      <c r="Q182" s="6">
        <f t="shared" si="149"/>
        <v>10498252381377.045</v>
      </c>
      <c r="S182" s="6"/>
      <c r="T182" s="6"/>
    </row>
    <row r="183" spans="4:24" ht="15.75">
      <c r="D183" s="2">
        <f t="shared" si="142"/>
        <v>0.57969210488308998</v>
      </c>
      <c r="E183" s="2">
        <f t="shared" si="143"/>
        <v>-0.23680261446286155</v>
      </c>
      <c r="F183" s="2">
        <f t="shared" si="144"/>
        <v>-0.77021281992147794</v>
      </c>
      <c r="G183" s="6">
        <f t="shared" si="145"/>
        <v>0.25864893926065541</v>
      </c>
      <c r="H183" s="2">
        <f t="shared" si="150"/>
        <v>-0.18292352159490449</v>
      </c>
      <c r="I183" s="2">
        <f t="shared" si="146"/>
        <v>1.1614733247380169</v>
      </c>
      <c r="J183" s="4">
        <f t="shared" si="151"/>
        <v>0.47424772487721328</v>
      </c>
      <c r="K183" s="6">
        <f t="shared" si="152"/>
        <v>9.9714063900977548E-3</v>
      </c>
      <c r="L183" s="9">
        <f t="shared" si="153"/>
        <v>78888524675193.109</v>
      </c>
      <c r="M183" s="6">
        <f t="shared" si="147"/>
        <v>2046294417138554</v>
      </c>
      <c r="N183" s="2">
        <f t="shared" si="148"/>
        <v>9.0909090909090917</v>
      </c>
      <c r="O183" s="12">
        <v>1100</v>
      </c>
      <c r="P183" s="13"/>
      <c r="Q183" s="6">
        <f t="shared" si="149"/>
        <v>9397607607168.5586</v>
      </c>
      <c r="S183" s="6"/>
      <c r="T183" s="6"/>
    </row>
    <row r="184" spans="4:24" ht="15.75">
      <c r="D184" s="2">
        <f t="shared" si="142"/>
        <v>0.60017519438602418</v>
      </c>
      <c r="E184" s="2">
        <f t="shared" si="143"/>
        <v>-0.22172195820122456</v>
      </c>
      <c r="F184" s="2">
        <f t="shared" si="144"/>
        <v>-0.8717185184176568</v>
      </c>
      <c r="G184" s="6">
        <f t="shared" si="145"/>
        <v>0.2047410862873057</v>
      </c>
      <c r="H184" s="2">
        <f t="shared" si="150"/>
        <v>-0.18292352159490449</v>
      </c>
      <c r="I184" s="2">
        <f t="shared" si="146"/>
        <v>1.1614733247380169</v>
      </c>
      <c r="J184" s="4">
        <f t="shared" si="151"/>
        <v>0.47424772487721328</v>
      </c>
      <c r="K184" s="6">
        <f t="shared" si="152"/>
        <v>9.1404558575896074E-3</v>
      </c>
      <c r="L184" s="9">
        <f t="shared" si="153"/>
        <v>82387769635664.406</v>
      </c>
      <c r="M184" s="6">
        <f t="shared" si="147"/>
        <v>1845439846196299.5</v>
      </c>
      <c r="N184" s="2">
        <f t="shared" si="148"/>
        <v>8.3333333333333339</v>
      </c>
      <c r="O184" s="12">
        <v>1200</v>
      </c>
      <c r="P184" s="13"/>
      <c r="Q184" s="6">
        <f t="shared" si="149"/>
        <v>8403342588393.4277</v>
      </c>
      <c r="S184" s="6"/>
      <c r="T184" s="6"/>
    </row>
    <row r="185" spans="4:24" ht="15.75">
      <c r="D185" s="2">
        <f t="shared" si="142"/>
        <v>0.61886870015325135</v>
      </c>
      <c r="E185" s="2">
        <f t="shared" si="143"/>
        <v>-0.20840148158973498</v>
      </c>
      <c r="F185" s="2">
        <f t="shared" si="144"/>
        <v>-0.96570877441693659</v>
      </c>
      <c r="G185" s="6">
        <f t="shared" si="145"/>
        <v>0.16489775659247979</v>
      </c>
      <c r="H185" s="2">
        <f t="shared" si="150"/>
        <v>-0.18292352159490449</v>
      </c>
      <c r="I185" s="2">
        <f t="shared" si="146"/>
        <v>1.1614733247380169</v>
      </c>
      <c r="J185" s="4">
        <f t="shared" si="151"/>
        <v>0.47424772487721328</v>
      </c>
      <c r="K185" s="6">
        <f t="shared" si="152"/>
        <v>8.4373438685442538E-3</v>
      </c>
      <c r="L185" s="9">
        <f t="shared" si="153"/>
        <v>85801817887422.609</v>
      </c>
      <c r="M185" s="6">
        <f t="shared" si="147"/>
        <v>1676893522609695.7</v>
      </c>
      <c r="N185" s="2">
        <f t="shared" si="148"/>
        <v>7.6923076923076925</v>
      </c>
      <c r="O185" s="12">
        <v>1300</v>
      </c>
      <c r="P185" s="13"/>
      <c r="Q185" s="6">
        <f t="shared" si="149"/>
        <v>7516608765053.6895</v>
      </c>
      <c r="S185" s="6"/>
      <c r="T185" s="6"/>
    </row>
    <row r="186" spans="4:24" ht="15.75">
      <c r="D186" s="2">
        <f t="shared" si="142"/>
        <v>0.65116191475801755</v>
      </c>
      <c r="E186" s="2">
        <f>LOG(J186)/(1+(F186/(I186-0.14*F186))^2)</f>
        <v>-0.18631100844767653</v>
      </c>
      <c r="F186" s="2">
        <f>LOG(G186)+H186</f>
        <v>-1.1350681625292192</v>
      </c>
      <c r="G186" s="6">
        <f>M186*K186/L186</f>
        <v>0.11164913405784312</v>
      </c>
      <c r="H186" s="2">
        <f>-0.4-0.67*LOG(J186)</f>
        <v>-0.18292352159490449</v>
      </c>
      <c r="I186" s="2">
        <f>0.75-1.27*LOG(J186)</f>
        <v>1.1614733247380169</v>
      </c>
      <c r="J186" s="4">
        <f t="shared" si="151"/>
        <v>0.47424772487721328</v>
      </c>
      <c r="K186" s="6">
        <f t="shared" si="152"/>
        <v>7.3123646860716865E-3</v>
      </c>
      <c r="L186" s="9">
        <f t="shared" si="153"/>
        <v>92396720595423.437</v>
      </c>
      <c r="M186" s="6">
        <f>$B$7*O186^$B$8*EXP(-$B$9/1.987/O186)</f>
        <v>1410763041388383.7</v>
      </c>
      <c r="N186" s="2">
        <f>10000/O186</f>
        <v>6.666666666666667</v>
      </c>
      <c r="O186" s="12">
        <v>1500</v>
      </c>
      <c r="P186" s="13"/>
      <c r="Q186" s="6">
        <f>L186/(1+L186/M186/K186)*D186</f>
        <v>6042729780196.375</v>
      </c>
      <c r="S186" s="6"/>
      <c r="T186" s="6"/>
    </row>
    <row r="187" spans="4:24" ht="15.75">
      <c r="D187" s="2">
        <f t="shared" si="142"/>
        <v>0.68905606062845559</v>
      </c>
      <c r="E187" s="2">
        <f>LOG(J187)/(1+(F187/(I187-0.14*F187))^2)</f>
        <v>-0.16174544306893163</v>
      </c>
      <c r="F187" s="2">
        <f>LOG(G187)+H187</f>
        <v>-1.3529951050668589</v>
      </c>
      <c r="G187" s="6">
        <f>M187*K187/L187</f>
        <v>6.7597154782283564E-2</v>
      </c>
      <c r="H187" s="2">
        <f>-0.4-0.67*LOG(J187)</f>
        <v>-0.18292352159490449</v>
      </c>
      <c r="I187" s="2">
        <f>0.75-1.27*LOG(J187)</f>
        <v>1.1614733247380169</v>
      </c>
      <c r="J187" s="4">
        <f t="shared" si="151"/>
        <v>0.47424772487721328</v>
      </c>
      <c r="K187" s="6">
        <f t="shared" si="152"/>
        <v>6.0936372383930716E-3</v>
      </c>
      <c r="L187" s="9">
        <f t="shared" si="153"/>
        <v>101779852540394.17</v>
      </c>
      <c r="M187" s="6">
        <f>$B$7*O187^$B$8*EXP(-$B$9/1.987/O187)</f>
        <v>1129051201562061.7</v>
      </c>
      <c r="N187" s="2">
        <f>10000/O187</f>
        <v>5.5555555555555554</v>
      </c>
      <c r="O187" s="12">
        <v>1800</v>
      </c>
      <c r="P187" s="13"/>
      <c r="Q187" s="6">
        <f>L187/(1+L187/M187/K187)*D187</f>
        <v>4440556324734.834</v>
      </c>
      <c r="S187" s="6"/>
      <c r="T187" s="6"/>
    </row>
    <row r="188" spans="4:24">
      <c r="D188" s="2" t="s">
        <v>4</v>
      </c>
      <c r="E188" s="2" t="s">
        <v>5</v>
      </c>
      <c r="F188" t="s">
        <v>6</v>
      </c>
      <c r="G188" t="s">
        <v>7</v>
      </c>
      <c r="H188" t="s">
        <v>8</v>
      </c>
      <c r="I188" t="s">
        <v>9</v>
      </c>
      <c r="J188" t="s">
        <v>10</v>
      </c>
      <c r="K188" t="s">
        <v>11</v>
      </c>
      <c r="L188" t="s">
        <v>12</v>
      </c>
      <c r="M188" t="s">
        <v>13</v>
      </c>
      <c r="N188" t="s">
        <v>14</v>
      </c>
      <c r="O188" t="s">
        <v>15</v>
      </c>
      <c r="Q188" t="s">
        <v>16</v>
      </c>
    </row>
    <row r="189" spans="4:24" ht="15.75">
      <c r="D189" s="42">
        <f>10^E189</f>
        <v>0.87400566569765248</v>
      </c>
      <c r="E189" s="42">
        <f t="shared" ref="E189:E253" si="154">LOG(J189)/(1+(F189/(I189-0.14*F189))^2)</f>
        <v>-5.8485752064394138E-2</v>
      </c>
      <c r="F189" s="42">
        <f t="shared" ref="F189:F253" si="155">LOG(G189)+H189</f>
        <v>-3.5266943136038496</v>
      </c>
      <c r="G189" s="36">
        <f t="shared" ref="G189:G253" si="156">M189*K189/L189</f>
        <v>4.5313666915513851E-4</v>
      </c>
      <c r="H189" s="42">
        <f>-0.4-0.67*LOG(J189)</f>
        <v>-0.18292352159490449</v>
      </c>
      <c r="I189" s="42">
        <f t="shared" ref="I189:I253" si="157">0.75-1.27*LOG(J189)</f>
        <v>1.1614733247380169</v>
      </c>
      <c r="J189" s="36">
        <f>(1-$B$10)*EXP(-O189/$B$11)+$B$10*EXP(-O189/$B$12)+EXP(-B$13/O189)</f>
        <v>0.47424772487721328</v>
      </c>
      <c r="K189" s="36">
        <f>50*101325/760/8.314/O189/1000000</f>
        <v>2.6905851458817871E-6</v>
      </c>
      <c r="L189" s="43">
        <f>B$4*O189^B$5*EXP(-B$6/1.987/O189)</f>
        <v>48206958106244.187</v>
      </c>
      <c r="M189" s="36">
        <f t="shared" ref="M189:M253" si="158">$B$7*O189^$B$8*EXP(-$B$9/1.987/O189)</f>
        <v>8118806594840446</v>
      </c>
      <c r="N189" s="42">
        <f t="shared" ref="N189:N253" si="159">10000/O189</f>
        <v>33.557046979865774</v>
      </c>
      <c r="O189" s="44">
        <v>298</v>
      </c>
      <c r="P189" s="45"/>
      <c r="Q189" s="36">
        <f t="shared" ref="Q189:Q253" si="160">L189/(1+L189/M189/K189)*D189</f>
        <v>19083429894.212784</v>
      </c>
      <c r="R189" s="36">
        <f>0.0000000000000314*6.02E+23</f>
        <v>18902800000</v>
      </c>
      <c r="S189" s="53">
        <f t="shared" ref="S189:S202" si="161">(R189-Q189)^2/R189^2</f>
        <v>9.1311815248483922E-5</v>
      </c>
      <c r="T189" s="36"/>
      <c r="U189" s="35" t="s">
        <v>15</v>
      </c>
      <c r="V189" s="35" t="s">
        <v>56</v>
      </c>
      <c r="W189" s="35" t="s">
        <v>21</v>
      </c>
      <c r="X189" s="24"/>
    </row>
    <row r="190" spans="4:24" ht="15.75">
      <c r="D190" s="42">
        <f>10^E190</f>
        <v>0.84061498652035826</v>
      </c>
      <c r="E190" s="42">
        <f t="shared" si="154"/>
        <v>-7.540287164074512E-2</v>
      </c>
      <c r="F190" s="42">
        <f t="shared" si="155"/>
        <v>-2.8277243092678308</v>
      </c>
      <c r="G190" s="36">
        <f t="shared" si="156"/>
        <v>2.2656833457756933E-3</v>
      </c>
      <c r="H190" s="42">
        <f t="shared" ref="H190:H254" si="162">-0.4-0.67*LOG(J190)</f>
        <v>-0.18292352159490449</v>
      </c>
      <c r="I190" s="42">
        <f t="shared" si="157"/>
        <v>1.1614733247380169</v>
      </c>
      <c r="J190" s="36">
        <f t="shared" ref="J190:J254" si="163">(1-$B$10)*EXP(-O190/$B$11)+$B$10*EXP(-O190/$B$12)+EXP(-B$13/O190)</f>
        <v>0.47424772487721328</v>
      </c>
      <c r="K190" s="36">
        <f>250*101325/760/8.314/O190/1000000</f>
        <v>1.3452925729408937E-5</v>
      </c>
      <c r="L190" s="43">
        <f t="shared" ref="L190:L254" si="164">B$4*O190^B$5*EXP(-B$6/1.987/O190)</f>
        <v>48206958106244.187</v>
      </c>
      <c r="M190" s="36">
        <f t="shared" si="158"/>
        <v>8118806594840446</v>
      </c>
      <c r="N190" s="42">
        <f t="shared" si="159"/>
        <v>33.557046979865774</v>
      </c>
      <c r="O190" s="44">
        <v>298</v>
      </c>
      <c r="P190" s="45"/>
      <c r="Q190" s="36">
        <f t="shared" si="160"/>
        <v>91605849816.967896</v>
      </c>
      <c r="R190" s="36">
        <f>0.0000000000001284*6.02E+23</f>
        <v>77296799999.999985</v>
      </c>
      <c r="S190" s="53">
        <f t="shared" si="161"/>
        <v>3.4268773525836557E-2</v>
      </c>
      <c r="T190" s="36"/>
      <c r="U190" s="35">
        <v>298</v>
      </c>
      <c r="V190" s="35">
        <v>50</v>
      </c>
      <c r="W190" s="36">
        <f>0.0000000000000314*6.02E+23</f>
        <v>18902800000</v>
      </c>
      <c r="X190" s="20"/>
    </row>
    <row r="191" spans="4:24" ht="15.75">
      <c r="D191" s="48">
        <f t="shared" ref="D191:D255" si="165">10^E191</f>
        <v>0.8876850104410432</v>
      </c>
      <c r="E191" s="48">
        <f t="shared" si="154"/>
        <v>-5.1741113608162505E-2</v>
      </c>
      <c r="F191" s="48">
        <f t="shared" si="155"/>
        <v>-3.9246343222758875</v>
      </c>
      <c r="G191" s="47">
        <f t="shared" si="156"/>
        <v>1.8125466766205539E-4</v>
      </c>
      <c r="H191" s="48">
        <f t="shared" si="162"/>
        <v>-0.18292352159490449</v>
      </c>
      <c r="I191" s="48">
        <f t="shared" si="157"/>
        <v>1.1614733247380169</v>
      </c>
      <c r="J191" s="47">
        <f t="shared" si="163"/>
        <v>0.47424772487721328</v>
      </c>
      <c r="K191" s="47">
        <f>20*101325/760/8.314/O191/1000000</f>
        <v>1.0762340583527147E-6</v>
      </c>
      <c r="L191" s="49">
        <f t="shared" si="164"/>
        <v>48206958106244.187</v>
      </c>
      <c r="M191" s="47">
        <f t="shared" si="158"/>
        <v>8118806594840446</v>
      </c>
      <c r="N191" s="48">
        <f t="shared" si="159"/>
        <v>33.557046979865774</v>
      </c>
      <c r="O191" s="50">
        <v>298</v>
      </c>
      <c r="P191" s="51"/>
      <c r="Q191" s="47">
        <f t="shared" si="160"/>
        <v>7754951802.5704241</v>
      </c>
      <c r="R191" s="47">
        <f>2.04E-32*6.02E+23*20/760*101325*6.02E+23/1000000/298/8.314</f>
        <v>7956643164.7384462</v>
      </c>
      <c r="S191" s="53">
        <f t="shared" si="161"/>
        <v>6.425616991205151E-4</v>
      </c>
      <c r="T191" s="47"/>
      <c r="U191" s="35">
        <v>298</v>
      </c>
      <c r="V191" s="35">
        <v>250</v>
      </c>
      <c r="W191" s="36">
        <f>0.0000000000001284*6.02E+23</f>
        <v>77296799999.999985</v>
      </c>
      <c r="X191" s="20"/>
    </row>
    <row r="192" spans="4:24" ht="15.75">
      <c r="D192" s="48">
        <f t="shared" si="165"/>
        <v>0.87400566569765248</v>
      </c>
      <c r="E192" s="48">
        <f t="shared" si="154"/>
        <v>-5.8485752064394138E-2</v>
      </c>
      <c r="F192" s="48">
        <f t="shared" si="155"/>
        <v>-3.5266943136038496</v>
      </c>
      <c r="G192" s="47">
        <f t="shared" si="156"/>
        <v>4.5313666915513851E-4</v>
      </c>
      <c r="H192" s="48">
        <f t="shared" si="162"/>
        <v>-0.18292352159490449</v>
      </c>
      <c r="I192" s="48">
        <f t="shared" si="157"/>
        <v>1.1614733247380169</v>
      </c>
      <c r="J192" s="47">
        <f t="shared" si="163"/>
        <v>0.47424772487721328</v>
      </c>
      <c r="K192" s="47">
        <f>50*101325/760/8.314/O192/1000000</f>
        <v>2.6905851458817871E-6</v>
      </c>
      <c r="L192" s="49">
        <f t="shared" si="164"/>
        <v>48206958106244.187</v>
      </c>
      <c r="M192" s="47">
        <f t="shared" si="158"/>
        <v>8118806594840446</v>
      </c>
      <c r="N192" s="48">
        <f t="shared" si="159"/>
        <v>33.557046979865774</v>
      </c>
      <c r="O192" s="50">
        <v>298</v>
      </c>
      <c r="P192" s="51"/>
      <c r="Q192" s="47">
        <f t="shared" si="160"/>
        <v>19083429894.212784</v>
      </c>
      <c r="R192" s="47">
        <f>2.19E-32*6.02E+23*50/760*101325*6.02E+23/1000000/298/8.314</f>
        <v>21354226140.658337</v>
      </c>
      <c r="S192" s="53">
        <f t="shared" si="161"/>
        <v>1.1308074477866517E-2</v>
      </c>
      <c r="T192" s="47"/>
      <c r="U192" s="24"/>
      <c r="V192" s="24"/>
      <c r="W192" s="24" t="s">
        <v>22</v>
      </c>
      <c r="X192" s="20"/>
    </row>
    <row r="193" spans="4:24" ht="15.75">
      <c r="D193" s="48">
        <f t="shared" si="165"/>
        <v>0.85282209461485647</v>
      </c>
      <c r="E193" s="48">
        <f t="shared" si="154"/>
        <v>-6.9141556623071032E-2</v>
      </c>
      <c r="F193" s="48">
        <f t="shared" si="155"/>
        <v>-3.0495730588841874</v>
      </c>
      <c r="G193" s="47">
        <f t="shared" si="156"/>
        <v>1.3594100074654156E-3</v>
      </c>
      <c r="H193" s="48">
        <f t="shared" si="162"/>
        <v>-0.18292352159490449</v>
      </c>
      <c r="I193" s="48">
        <f t="shared" si="157"/>
        <v>1.1614733247380169</v>
      </c>
      <c r="J193" s="47">
        <f t="shared" si="163"/>
        <v>0.47424772487721328</v>
      </c>
      <c r="K193" s="47">
        <f>150*101325/760/8.314/O193/1000000</f>
        <v>8.0717554376453607E-6</v>
      </c>
      <c r="L193" s="49">
        <f t="shared" si="164"/>
        <v>48206958106244.187</v>
      </c>
      <c r="M193" s="47">
        <f t="shared" si="158"/>
        <v>8118806594840446</v>
      </c>
      <c r="N193" s="48">
        <f t="shared" si="159"/>
        <v>33.557046979865774</v>
      </c>
      <c r="O193" s="50">
        <v>298</v>
      </c>
      <c r="P193" s="51"/>
      <c r="Q193" s="47">
        <f t="shared" si="160"/>
        <v>55812136896.242455</v>
      </c>
      <c r="R193" s="47">
        <f>2.02E-32*6.02E+23*150/760*101325*6.02E+23/1000000/298/8.314</f>
        <v>59089776444.013481</v>
      </c>
      <c r="S193" s="53">
        <f t="shared" si="161"/>
        <v>3.0767888175854477E-3</v>
      </c>
      <c r="T193" s="47"/>
      <c r="U193" s="46">
        <v>298</v>
      </c>
      <c r="V193" s="46">
        <v>20</v>
      </c>
      <c r="W193" s="47">
        <f>2.04E-32*6.02E+23*20/760*101325*6.02E+23/1000000/298/8.314</f>
        <v>7956643164.7384462</v>
      </c>
      <c r="X193" s="20"/>
    </row>
    <row r="194" spans="4:24" ht="15.75">
      <c r="D194" s="48">
        <f t="shared" si="165"/>
        <v>0.83581377603857121</v>
      </c>
      <c r="E194" s="48">
        <f t="shared" si="154"/>
        <v>-7.7890475010736482E-2</v>
      </c>
      <c r="F194" s="48">
        <f t="shared" si="155"/>
        <v>-2.7485430632202061</v>
      </c>
      <c r="G194" s="47">
        <f t="shared" si="156"/>
        <v>2.7188200149308311E-3</v>
      </c>
      <c r="H194" s="48">
        <f t="shared" si="162"/>
        <v>-0.18292352159490449</v>
      </c>
      <c r="I194" s="48">
        <f t="shared" si="157"/>
        <v>1.1614733247380169</v>
      </c>
      <c r="J194" s="47">
        <f t="shared" si="163"/>
        <v>0.47424772487721328</v>
      </c>
      <c r="K194" s="47">
        <f>300*101325/760/8.314/O194/1000000</f>
        <v>1.6143510875290721E-5</v>
      </c>
      <c r="L194" s="49">
        <f t="shared" si="164"/>
        <v>48206958106244.187</v>
      </c>
      <c r="M194" s="47">
        <f t="shared" si="158"/>
        <v>8118806594840446</v>
      </c>
      <c r="N194" s="48">
        <f t="shared" si="159"/>
        <v>33.557046979865774</v>
      </c>
      <c r="O194" s="50">
        <v>298</v>
      </c>
      <c r="P194" s="51"/>
      <c r="Q194" s="47">
        <f t="shared" si="160"/>
        <v>109249773470.25424</v>
      </c>
      <c r="R194" s="47">
        <f>2.02E-32*6.02E+23*300/760*101325*6.02E+23/1000000/298/8.314</f>
        <v>118179552888.02696</v>
      </c>
      <c r="S194" s="53">
        <f t="shared" si="161"/>
        <v>5.7094829073852157E-3</v>
      </c>
      <c r="T194" s="47"/>
      <c r="U194" s="46"/>
      <c r="V194" s="46">
        <v>50</v>
      </c>
      <c r="W194" s="47">
        <f>2.19E-32*6.02E+23*50/760*101325*6.02E+23/1000000/298/8.314</f>
        <v>21354226140.658337</v>
      </c>
      <c r="X194" s="20"/>
    </row>
    <row r="195" spans="4:24" ht="15.75">
      <c r="D195" s="48">
        <f t="shared" si="165"/>
        <v>0.88039964791515535</v>
      </c>
      <c r="E195" s="48">
        <f t="shared" si="154"/>
        <v>-5.5320139799443557E-2</v>
      </c>
      <c r="F195" s="48">
        <f t="shared" si="155"/>
        <v>-3.7017629357702257</v>
      </c>
      <c r="G195" s="47">
        <f t="shared" si="156"/>
        <v>3.0280328742084747E-4</v>
      </c>
      <c r="H195" s="48">
        <f t="shared" si="162"/>
        <v>-0.18292352159490449</v>
      </c>
      <c r="I195" s="48">
        <f t="shared" si="157"/>
        <v>1.1614733247380169</v>
      </c>
      <c r="J195" s="47">
        <f t="shared" si="163"/>
        <v>0.47424772487721328</v>
      </c>
      <c r="K195" s="47">
        <f>50*101325/760/8.314/O195/1000000</f>
        <v>2.2272065929799238E-6</v>
      </c>
      <c r="L195" s="49">
        <f t="shared" si="164"/>
        <v>50381759579446.578</v>
      </c>
      <c r="M195" s="47">
        <f t="shared" si="158"/>
        <v>6849729376156132</v>
      </c>
      <c r="N195" s="48">
        <f t="shared" si="159"/>
        <v>27.777777777777779</v>
      </c>
      <c r="O195" s="50">
        <v>360</v>
      </c>
      <c r="P195" s="51"/>
      <c r="Q195" s="47">
        <f t="shared" si="160"/>
        <v>13427102098.490791</v>
      </c>
      <c r="R195" s="47">
        <f>1.76E-32*6.02E+23*50/760*101325*6.02E+23/1000000/360/8.314</f>
        <v>14205814974.952419</v>
      </c>
      <c r="S195" s="53">
        <f t="shared" si="161"/>
        <v>3.0048472822340115E-3</v>
      </c>
      <c r="T195" s="46"/>
      <c r="U195" s="46"/>
      <c r="V195" s="46">
        <v>150</v>
      </c>
      <c r="W195" s="47">
        <f>2.02E-32*6.02E+23*150/760*101325*6.02E+23/1000000/298/8.314</f>
        <v>59089776444.013481</v>
      </c>
      <c r="X195" s="20"/>
    </row>
    <row r="196" spans="4:24" ht="15.75">
      <c r="D196" s="48">
        <f t="shared" si="165"/>
        <v>0.86131561031368287</v>
      </c>
      <c r="E196" s="48">
        <f t="shared" si="154"/>
        <v>-6.4837681645252762E-2</v>
      </c>
      <c r="F196" s="48">
        <f t="shared" si="155"/>
        <v>-3.2246416810505631</v>
      </c>
      <c r="G196" s="47">
        <f t="shared" si="156"/>
        <v>9.0840986226254229E-4</v>
      </c>
      <c r="H196" s="48">
        <f t="shared" si="162"/>
        <v>-0.18292352159490449</v>
      </c>
      <c r="I196" s="48">
        <f t="shared" si="157"/>
        <v>1.1614733247380169</v>
      </c>
      <c r="J196" s="47">
        <f t="shared" si="163"/>
        <v>0.47424772487721328</v>
      </c>
      <c r="K196" s="47">
        <f>150*101325/760/8.314/O196/1000000</f>
        <v>6.6816197789397713E-6</v>
      </c>
      <c r="L196" s="49">
        <f t="shared" si="164"/>
        <v>50381759579446.578</v>
      </c>
      <c r="M196" s="47">
        <f t="shared" si="158"/>
        <v>6849729376156132</v>
      </c>
      <c r="N196" s="48">
        <f t="shared" si="159"/>
        <v>27.777777777777779</v>
      </c>
      <c r="O196" s="50">
        <v>360</v>
      </c>
      <c r="P196" s="51"/>
      <c r="Q196" s="47">
        <f t="shared" si="160"/>
        <v>39384301887.816032</v>
      </c>
      <c r="R196" s="47">
        <f>1.81E-32*6.02E+23*150/760*101325*6.02E+23/1000000/360/8.314</f>
        <v>43828167792.040688</v>
      </c>
      <c r="S196" s="53">
        <f t="shared" si="161"/>
        <v>1.0280524196235624E-2</v>
      </c>
      <c r="T196" s="47"/>
      <c r="U196" s="46"/>
      <c r="V196" s="46">
        <v>300</v>
      </c>
      <c r="W196" s="47">
        <f>2.02E-32*6.02E+23*300/760*101325*6.02E+23/1000000/298/8.314</f>
        <v>118179552888.02696</v>
      </c>
      <c r="X196" s="20"/>
    </row>
    <row r="197" spans="4:24" ht="15.75">
      <c r="D197" s="48">
        <f t="shared" si="165"/>
        <v>0.83285658276738861</v>
      </c>
      <c r="E197" s="48">
        <f t="shared" si="154"/>
        <v>-7.9429777314899724E-2</v>
      </c>
      <c r="F197" s="48">
        <f t="shared" si="155"/>
        <v>-2.7017629357702253</v>
      </c>
      <c r="G197" s="47">
        <f t="shared" si="156"/>
        <v>3.0280328742084755E-3</v>
      </c>
      <c r="H197" s="48">
        <f t="shared" si="162"/>
        <v>-0.18292352159490449</v>
      </c>
      <c r="I197" s="48">
        <f t="shared" si="157"/>
        <v>1.1614733247380169</v>
      </c>
      <c r="J197" s="47">
        <f t="shared" si="163"/>
        <v>0.47424772487721328</v>
      </c>
      <c r="K197" s="47">
        <f>500*101325/760/8.314/O197/1000000</f>
        <v>2.2272065929799244E-5</v>
      </c>
      <c r="L197" s="49">
        <f t="shared" si="164"/>
        <v>50381759579446.578</v>
      </c>
      <c r="M197" s="47">
        <f t="shared" si="158"/>
        <v>6849729376156132</v>
      </c>
      <c r="N197" s="48">
        <f t="shared" si="159"/>
        <v>27.777777777777779</v>
      </c>
      <c r="O197" s="50">
        <v>360</v>
      </c>
      <c r="P197" s="51"/>
      <c r="Q197" s="47">
        <f t="shared" si="160"/>
        <v>126675045420.27707</v>
      </c>
      <c r="R197" s="47">
        <f>1.81E-32*6.02E+23*500/760*101325*6.02E+23/1000000/360/8.314</f>
        <v>146093892640.13559</v>
      </c>
      <c r="S197" s="53">
        <f t="shared" si="161"/>
        <v>1.766781194216957E-2</v>
      </c>
      <c r="T197" s="47"/>
      <c r="U197" s="46">
        <v>360</v>
      </c>
      <c r="V197" s="46">
        <v>50</v>
      </c>
      <c r="W197" s="47">
        <f>1.76E-32*6.02E+23*50/760*101325*6.02E+23/1000000/360/8.314</f>
        <v>14205814974.952419</v>
      </c>
      <c r="X197" s="20"/>
    </row>
    <row r="198" spans="4:24" ht="15.75">
      <c r="D198" s="52">
        <f t="shared" si="165"/>
        <v>0.8050766649424631</v>
      </c>
      <c r="E198" s="52">
        <f t="shared" si="154"/>
        <v>-9.4162761152479874E-2</v>
      </c>
      <c r="F198" s="52">
        <f t="shared" si="155"/>
        <v>-2.322574330947925</v>
      </c>
      <c r="G198" s="53">
        <f t="shared" si="156"/>
        <v>7.2501867064822161E-3</v>
      </c>
      <c r="H198" s="52">
        <f t="shared" si="162"/>
        <v>-0.18292352159490449</v>
      </c>
      <c r="I198" s="52">
        <f t="shared" si="157"/>
        <v>1.1614733247380169</v>
      </c>
      <c r="J198" s="53">
        <f t="shared" si="163"/>
        <v>0.47424772487721328</v>
      </c>
      <c r="K198" s="53">
        <f>800*101325/760/8.314/O198/1000000</f>
        <v>4.3049362334108593E-5</v>
      </c>
      <c r="L198" s="54">
        <f t="shared" si="164"/>
        <v>48206958106244.187</v>
      </c>
      <c r="M198" s="53">
        <f t="shared" si="158"/>
        <v>8118806594840446</v>
      </c>
      <c r="N198" s="52">
        <f t="shared" si="159"/>
        <v>33.557046979865774</v>
      </c>
      <c r="O198" s="55">
        <v>298</v>
      </c>
      <c r="P198" s="56"/>
      <c r="Q198" s="53">
        <f t="shared" si="160"/>
        <v>279356512936.74622</v>
      </c>
      <c r="R198" s="53">
        <f>5900000000000000*800/760*101325/1000000/8.314/298</f>
        <v>253991237771.24078</v>
      </c>
      <c r="S198" s="53">
        <f t="shared" si="161"/>
        <v>9.9733643904989719E-3</v>
      </c>
      <c r="T198" s="47"/>
      <c r="U198" s="46"/>
      <c r="V198" s="46">
        <v>150</v>
      </c>
      <c r="W198" s="47">
        <f>1.81E-32*6.02E+23*150/760*101325*6.02E+23/1000000/360/8.314</f>
        <v>43828167792.040688</v>
      </c>
      <c r="X198" s="20"/>
    </row>
    <row r="199" spans="4:24" ht="15.75">
      <c r="D199" s="68">
        <f t="shared" si="165"/>
        <v>0.81027554237214139</v>
      </c>
      <c r="E199" s="68">
        <f t="shared" si="154"/>
        <v>-9.1367269784882216E-2</v>
      </c>
      <c r="F199" s="68">
        <f t="shared" si="155"/>
        <v>-2.3863892965540225</v>
      </c>
      <c r="G199" s="69">
        <f t="shared" si="156"/>
        <v>6.2594219002119721E-3</v>
      </c>
      <c r="H199" s="68">
        <f t="shared" si="162"/>
        <v>-0.18292352159490449</v>
      </c>
      <c r="I199" s="68">
        <f t="shared" si="157"/>
        <v>1.1614733247380169</v>
      </c>
      <c r="J199" s="69">
        <f t="shared" si="163"/>
        <v>0.47424772487721328</v>
      </c>
      <c r="K199" s="69">
        <f>7600*101325/760/8.314/O199/1000000</f>
        <v>1.4880677016832898E-4</v>
      </c>
      <c r="L199" s="70">
        <f t="shared" si="164"/>
        <v>68551282640557.742</v>
      </c>
      <c r="M199" s="69">
        <f t="shared" si="158"/>
        <v>2883547565494119</v>
      </c>
      <c r="N199" s="68">
        <f t="shared" si="159"/>
        <v>12.210012210012209</v>
      </c>
      <c r="O199" s="71">
        <v>819</v>
      </c>
      <c r="P199" s="72"/>
      <c r="Q199" s="69">
        <f t="shared" si="160"/>
        <v>345519514324.09039</v>
      </c>
      <c r="R199" s="69">
        <f>2400000000000000*10*101325/8.314/820/1000000</f>
        <v>356700716393.74078</v>
      </c>
      <c r="S199" s="53">
        <f t="shared" si="161"/>
        <v>9.8258250978331633E-4</v>
      </c>
      <c r="T199" s="53"/>
      <c r="U199" s="46"/>
      <c r="V199" s="46">
        <v>500</v>
      </c>
      <c r="W199" s="47">
        <f>1.81E-32*6.02E+23*500/760*101325*6.02E+23/1000000/360/8.314</f>
        <v>146093892640.13559</v>
      </c>
      <c r="X199" s="20"/>
    </row>
    <row r="200" spans="4:24" ht="15.75">
      <c r="D200" s="68">
        <f t="shared" si="165"/>
        <v>0.79801675924082571</v>
      </c>
      <c r="E200" s="68">
        <f t="shared" si="154"/>
        <v>-9.7987987885632497E-2</v>
      </c>
      <c r="F200" s="68">
        <f t="shared" si="155"/>
        <v>-2.2402612608757844</v>
      </c>
      <c r="G200" s="69">
        <f t="shared" si="156"/>
        <v>8.7631906602967623E-3</v>
      </c>
      <c r="H200" s="68">
        <f t="shared" si="162"/>
        <v>-0.18292352159490449</v>
      </c>
      <c r="I200" s="68">
        <f t="shared" si="157"/>
        <v>1.1614733247380169</v>
      </c>
      <c r="J200" s="69">
        <f t="shared" si="163"/>
        <v>0.47424772487721328</v>
      </c>
      <c r="K200" s="69">
        <f>760*14*101325/760/8.314/O200/1000000</f>
        <v>2.0832947823566059E-4</v>
      </c>
      <c r="L200" s="70">
        <f t="shared" si="164"/>
        <v>68551282640557.742</v>
      </c>
      <c r="M200" s="69">
        <f t="shared" si="158"/>
        <v>2883547565494119</v>
      </c>
      <c r="N200" s="68">
        <f t="shared" si="159"/>
        <v>12.210012210012209</v>
      </c>
      <c r="O200" s="71">
        <v>819</v>
      </c>
      <c r="P200" s="72"/>
      <c r="Q200" s="69">
        <f t="shared" si="160"/>
        <v>475226479408.77325</v>
      </c>
      <c r="R200" s="69">
        <f>2350000000000000*14*101325/8.314/820/1000000</f>
        <v>488977232056.41968</v>
      </c>
      <c r="S200" s="53">
        <f t="shared" si="161"/>
        <v>7.9081639468755029E-4</v>
      </c>
      <c r="T200" s="69"/>
      <c r="U200" s="46">
        <v>260</v>
      </c>
      <c r="V200" s="46">
        <v>50</v>
      </c>
      <c r="W200" s="47">
        <f>2.4E-32*6.02E+23*50/760*101325*6.02E+23/1000000/260/8.314</f>
        <v>26822168134.525547</v>
      </c>
      <c r="X200" s="20"/>
    </row>
    <row r="201" spans="4:24" ht="15.75">
      <c r="D201" s="68">
        <f t="shared" si="165"/>
        <v>0.81071266532642705</v>
      </c>
      <c r="E201" s="68">
        <f t="shared" si="154"/>
        <v>-9.1133042181424609E-2</v>
      </c>
      <c r="F201" s="68">
        <f t="shared" si="155"/>
        <v>-2.3918870169905029</v>
      </c>
      <c r="G201" s="69">
        <f t="shared" si="156"/>
        <v>6.1806834966420037E-3</v>
      </c>
      <c r="H201" s="68">
        <f t="shared" si="162"/>
        <v>-0.18292352159490449</v>
      </c>
      <c r="I201" s="68">
        <f t="shared" si="157"/>
        <v>1.1614733247380169</v>
      </c>
      <c r="J201" s="69">
        <f t="shared" si="163"/>
        <v>0.47424772487721328</v>
      </c>
      <c r="K201" s="69">
        <f>7600*101325/760/8.314/O201/1000000</f>
        <v>1.4808352948707343E-4</v>
      </c>
      <c r="L201" s="70">
        <f t="shared" si="164"/>
        <v>68703970165010.555</v>
      </c>
      <c r="M201" s="69">
        <f t="shared" si="158"/>
        <v>2867553846288712</v>
      </c>
      <c r="N201" s="68">
        <f t="shared" si="159"/>
        <v>12.150668286755771</v>
      </c>
      <c r="O201" s="71">
        <v>823</v>
      </c>
      <c r="P201" s="72"/>
      <c r="Q201" s="69">
        <f t="shared" si="160"/>
        <v>342144309320.24188</v>
      </c>
      <c r="R201" s="69">
        <f>2460000000000000*10*101325/8.314/820/1000000</f>
        <v>365618234303.58423</v>
      </c>
      <c r="S201" s="53">
        <f t="shared" si="161"/>
        <v>4.1220734946767401E-3</v>
      </c>
      <c r="T201" s="69"/>
      <c r="U201" s="46">
        <v>220</v>
      </c>
      <c r="V201" s="46">
        <v>30</v>
      </c>
      <c r="W201" s="47">
        <f>3.1E-32*6.02E+23*30/760*101325*6.02E+23/1000000/220/8.314</f>
        <v>24566667632.304081</v>
      </c>
      <c r="X201" s="20"/>
    </row>
    <row r="202" spans="4:24" ht="15.75">
      <c r="D202" s="68">
        <f t="shared" si="165"/>
        <v>0.80459579685976534</v>
      </c>
      <c r="E202" s="68">
        <f t="shared" si="154"/>
        <v>-9.44222404763886E-2</v>
      </c>
      <c r="F202" s="68">
        <f t="shared" si="155"/>
        <v>-2.3168136227037688</v>
      </c>
      <c r="G202" s="69">
        <f t="shared" si="156"/>
        <v>7.3469976154813439E-3</v>
      </c>
      <c r="H202" s="68">
        <f t="shared" si="162"/>
        <v>-0.18292352159490449</v>
      </c>
      <c r="I202" s="68">
        <f t="shared" si="157"/>
        <v>1.1614733247380169</v>
      </c>
      <c r="J202" s="69">
        <f t="shared" si="163"/>
        <v>0.47424772487721328</v>
      </c>
      <c r="K202" s="69">
        <f>760*12*101325/760/8.314/O202/1000000</f>
        <v>1.7705483501384228E-4</v>
      </c>
      <c r="L202" s="70">
        <f t="shared" si="164"/>
        <v>68818378527968.086</v>
      </c>
      <c r="M202" s="69">
        <f t="shared" si="158"/>
        <v>2855660298159862</v>
      </c>
      <c r="N202" s="68">
        <f t="shared" si="159"/>
        <v>12.106537530266344</v>
      </c>
      <c r="O202" s="71">
        <v>826</v>
      </c>
      <c r="P202" s="72"/>
      <c r="Q202" s="69">
        <f t="shared" si="160"/>
        <v>403843407590.70178</v>
      </c>
      <c r="R202" s="69">
        <f>2370000000000000*12*101325/8.314/820/1000000</f>
        <v>422690348926.58276</v>
      </c>
      <c r="S202" s="53">
        <f t="shared" si="161"/>
        <v>1.9880948195652596E-3</v>
      </c>
      <c r="T202" s="69"/>
      <c r="U202" s="46"/>
      <c r="V202" s="46">
        <v>50</v>
      </c>
      <c r="W202" s="47">
        <f>3.14E-32*6.02E+23*50/760*101325*6.02E+23/1000000/220/8.314</f>
        <v>41472761486.7929</v>
      </c>
      <c r="X202" s="20"/>
    </row>
    <row r="203" spans="4:24" ht="15.75">
      <c r="D203" s="68"/>
      <c r="E203" s="68"/>
      <c r="F203" s="68"/>
      <c r="G203" s="69"/>
      <c r="H203" s="68"/>
      <c r="I203" s="68"/>
      <c r="J203" s="69"/>
      <c r="K203" s="69"/>
      <c r="L203" s="70"/>
      <c r="M203" s="69"/>
      <c r="N203" s="68"/>
      <c r="O203" s="71"/>
      <c r="P203" s="72"/>
      <c r="Q203" s="69"/>
      <c r="R203" s="69"/>
      <c r="S203" s="69"/>
      <c r="T203" s="69"/>
      <c r="U203" s="46"/>
      <c r="V203" s="46">
        <v>200</v>
      </c>
      <c r="W203" s="47">
        <f>3.37E-32*6.02E+23*200/760*101325*6.02E+23/1000000/220/8.314</f>
        <v>178042300905.08545</v>
      </c>
      <c r="X203" s="20"/>
    </row>
    <row r="204" spans="4:24" ht="15.75">
      <c r="D204" s="37">
        <f t="shared" si="165"/>
        <v>0.80691795303336256</v>
      </c>
      <c r="E204" s="37">
        <f t="shared" si="154"/>
        <v>-9.3170621853338242E-2</v>
      </c>
      <c r="F204" s="37">
        <f t="shared" si="155"/>
        <v>-2.3448507256590769</v>
      </c>
      <c r="G204" s="20">
        <f t="shared" si="156"/>
        <v>6.887677371158106E-3</v>
      </c>
      <c r="H204" s="37">
        <f t="shared" si="162"/>
        <v>-0.18292352159490449</v>
      </c>
      <c r="I204" s="37">
        <f t="shared" si="157"/>
        <v>1.1614733247380169</v>
      </c>
      <c r="J204" s="20">
        <f t="shared" si="163"/>
        <v>0.47424772487721328</v>
      </c>
      <c r="K204" s="20">
        <f>1*101325/8.314/O204/1000000</f>
        <v>4.0896894217403164E-5</v>
      </c>
      <c r="L204" s="38">
        <f t="shared" si="164"/>
        <v>48206958106244.187</v>
      </c>
      <c r="M204" s="20">
        <f t="shared" si="158"/>
        <v>8118806594840446</v>
      </c>
      <c r="N204" s="37">
        <f t="shared" si="159"/>
        <v>33.557046979865774</v>
      </c>
      <c r="O204" s="39">
        <v>298</v>
      </c>
      <c r="P204" s="40"/>
      <c r="Q204" s="20">
        <f t="shared" si="160"/>
        <v>266091423151.63367</v>
      </c>
      <c r="R204" s="102">
        <f>0.00000000000041*6.02E+23</f>
        <v>246820000000</v>
      </c>
      <c r="S204" s="20">
        <f t="shared" ref="S204:S234" si="166">(R204-Q204)^2/R204^2</f>
        <v>6.0963076996772263E-3</v>
      </c>
      <c r="T204" s="63"/>
      <c r="U204" s="24"/>
      <c r="V204" s="24"/>
      <c r="W204" s="24" t="s">
        <v>23</v>
      </c>
      <c r="X204" s="20"/>
    </row>
    <row r="205" spans="4:24" ht="15.75">
      <c r="D205" s="37">
        <f t="shared" si="165"/>
        <v>0.77940253936589921</v>
      </c>
      <c r="E205" s="37">
        <f t="shared" si="154"/>
        <v>-0.10823818356924454</v>
      </c>
      <c r="F205" s="37">
        <f t="shared" si="155"/>
        <v>-2.0438207299950961</v>
      </c>
      <c r="G205" s="20">
        <f t="shared" si="156"/>
        <v>1.3775354742316212E-2</v>
      </c>
      <c r="H205" s="37">
        <f t="shared" si="162"/>
        <v>-0.18292352159490449</v>
      </c>
      <c r="I205" s="37">
        <f t="shared" si="157"/>
        <v>1.1614733247380169</v>
      </c>
      <c r="J205" s="20">
        <f t="shared" si="163"/>
        <v>0.47424772487721328</v>
      </c>
      <c r="K205" s="20">
        <f>2*101325/8.314/O205/1000000</f>
        <v>8.1793788434806328E-5</v>
      </c>
      <c r="L205" s="38">
        <f t="shared" si="164"/>
        <v>48206958106244.187</v>
      </c>
      <c r="M205" s="20">
        <f t="shared" si="158"/>
        <v>8118806594840446</v>
      </c>
      <c r="N205" s="37">
        <f t="shared" si="159"/>
        <v>33.557046979865774</v>
      </c>
      <c r="O205" s="39">
        <v>298</v>
      </c>
      <c r="P205" s="40"/>
      <c r="Q205" s="20">
        <f t="shared" si="160"/>
        <v>510543330246.61884</v>
      </c>
      <c r="R205" s="20">
        <f>0.00000000000091*6.02E+23</f>
        <v>547820000000</v>
      </c>
      <c r="S205" s="20">
        <f t="shared" si="166"/>
        <v>4.6301860814200136E-3</v>
      </c>
      <c r="T205" s="63"/>
      <c r="U205" s="57">
        <v>298</v>
      </c>
      <c r="V205" s="57">
        <v>800</v>
      </c>
      <c r="W205" s="53">
        <f>5900000000000000*800/760*101325/1000000/8.314/298</f>
        <v>253991237771.24078</v>
      </c>
      <c r="X205" s="53"/>
    </row>
    <row r="206" spans="4:24" ht="15.75">
      <c r="D206" s="37">
        <f t="shared" si="165"/>
        <v>0.73266139054584556</v>
      </c>
      <c r="E206" s="37">
        <f t="shared" si="154"/>
        <v>-0.13509669410954586</v>
      </c>
      <c r="F206" s="37">
        <f t="shared" si="155"/>
        <v>-1.6458807213230584</v>
      </c>
      <c r="G206" s="20">
        <f t="shared" si="156"/>
        <v>3.443838685579053E-2</v>
      </c>
      <c r="H206" s="37">
        <f t="shared" si="162"/>
        <v>-0.18292352159490449</v>
      </c>
      <c r="I206" s="37">
        <f t="shared" si="157"/>
        <v>1.1614733247380169</v>
      </c>
      <c r="J206" s="20">
        <f t="shared" si="163"/>
        <v>0.47424772487721328</v>
      </c>
      <c r="K206" s="20">
        <f>5*101325/8.314/O206/1000000</f>
        <v>2.0448447108701583E-4</v>
      </c>
      <c r="L206" s="38">
        <f t="shared" si="164"/>
        <v>48206958106244.187</v>
      </c>
      <c r="M206" s="20">
        <f t="shared" si="158"/>
        <v>8118806594840446</v>
      </c>
      <c r="N206" s="37">
        <f t="shared" si="159"/>
        <v>33.557046979865774</v>
      </c>
      <c r="O206" s="39">
        <v>298</v>
      </c>
      <c r="P206" s="40"/>
      <c r="Q206" s="20">
        <f t="shared" si="160"/>
        <v>1175848056987.4678</v>
      </c>
      <c r="R206" s="20">
        <f>0.0000000000023*6.02E+23</f>
        <v>1384600000000</v>
      </c>
      <c r="S206" s="20">
        <f t="shared" si="166"/>
        <v>2.2730678448211014E-2</v>
      </c>
      <c r="T206" s="63"/>
      <c r="U206" s="24"/>
      <c r="V206" s="24"/>
      <c r="W206" s="24" t="s">
        <v>24</v>
      </c>
      <c r="X206" s="20"/>
    </row>
    <row r="207" spans="4:24" ht="15.75">
      <c r="D207" s="37">
        <f t="shared" si="165"/>
        <v>0.6877225382593799</v>
      </c>
      <c r="E207" s="37">
        <f t="shared" si="154"/>
        <v>-0.16258674258936182</v>
      </c>
      <c r="F207" s="37">
        <f t="shared" si="155"/>
        <v>-1.3448507256590774</v>
      </c>
      <c r="G207" s="20">
        <f t="shared" si="156"/>
        <v>6.887677371158106E-2</v>
      </c>
      <c r="H207" s="37">
        <f t="shared" si="162"/>
        <v>-0.18292352159490449</v>
      </c>
      <c r="I207" s="37">
        <f t="shared" si="157"/>
        <v>1.1614733247380169</v>
      </c>
      <c r="J207" s="20">
        <f t="shared" si="163"/>
        <v>0.47424772487721328</v>
      </c>
      <c r="K207" s="20">
        <f>10*101325/8.314/O207/1000000</f>
        <v>4.0896894217403167E-4</v>
      </c>
      <c r="L207" s="38">
        <f t="shared" si="164"/>
        <v>48206958106244.187</v>
      </c>
      <c r="M207" s="20">
        <f t="shared" si="158"/>
        <v>8118806594840446</v>
      </c>
      <c r="N207" s="37">
        <f t="shared" si="159"/>
        <v>33.557046979865774</v>
      </c>
      <c r="O207" s="39">
        <v>298</v>
      </c>
      <c r="P207" s="40"/>
      <c r="Q207" s="20">
        <f t="shared" si="160"/>
        <v>2136329026266.8186</v>
      </c>
      <c r="R207" s="20">
        <f>0.0000000000039*6.02E+23</f>
        <v>2347800000000</v>
      </c>
      <c r="S207" s="20">
        <f t="shared" si="166"/>
        <v>8.1129599766577177E-3</v>
      </c>
      <c r="T207" s="63"/>
      <c r="U207" s="24">
        <v>298</v>
      </c>
      <c r="V207" s="24" t="s">
        <v>25</v>
      </c>
      <c r="W207" s="25">
        <f>0.00000000000051*6.02E+23</f>
        <v>307020000000</v>
      </c>
      <c r="X207" s="20"/>
    </row>
    <row r="208" spans="4:24" ht="15.75">
      <c r="D208" s="37">
        <f t="shared" si="165"/>
        <v>0.6151639894622406</v>
      </c>
      <c r="E208" s="37">
        <f t="shared" si="154"/>
        <v>-0.21100909524104394</v>
      </c>
      <c r="F208" s="37">
        <f t="shared" si="155"/>
        <v>-0.94691071698703966</v>
      </c>
      <c r="G208" s="20">
        <f t="shared" si="156"/>
        <v>0.17219193427895266</v>
      </c>
      <c r="H208" s="37">
        <f t="shared" si="162"/>
        <v>-0.18292352159490449</v>
      </c>
      <c r="I208" s="37">
        <f t="shared" si="157"/>
        <v>1.1614733247380169</v>
      </c>
      <c r="J208" s="20">
        <f t="shared" si="163"/>
        <v>0.47424772487721328</v>
      </c>
      <c r="K208" s="20">
        <f>25*101325/8.314/O208/1000000</f>
        <v>1.0224223554350792E-3</v>
      </c>
      <c r="L208" s="38">
        <f t="shared" si="164"/>
        <v>48206958106244.187</v>
      </c>
      <c r="M208" s="20">
        <f t="shared" si="158"/>
        <v>8118806594840446</v>
      </c>
      <c r="N208" s="37">
        <f t="shared" si="159"/>
        <v>33.557046979865774</v>
      </c>
      <c r="O208" s="39">
        <v>298</v>
      </c>
      <c r="P208" s="40"/>
      <c r="Q208" s="20">
        <f t="shared" si="160"/>
        <v>4356269191193.1191</v>
      </c>
      <c r="R208" s="20">
        <f>0.0000000000064*6.02E+23</f>
        <v>3852800000000</v>
      </c>
      <c r="S208" s="20">
        <f t="shared" si="166"/>
        <v>1.7076264351042845E-2</v>
      </c>
      <c r="T208" s="63"/>
      <c r="U208" s="24"/>
      <c r="V208" s="24">
        <v>2</v>
      </c>
      <c r="W208" s="20">
        <f>0.00000000000091*6.02E+23</f>
        <v>547820000000</v>
      </c>
      <c r="X208" s="20"/>
    </row>
    <row r="209" spans="4:24" ht="15.75">
      <c r="D209" s="37">
        <f t="shared" si="165"/>
        <v>0.55477311578983979</v>
      </c>
      <c r="E209" s="37">
        <f t="shared" si="154"/>
        <v>-0.25588459292503013</v>
      </c>
      <c r="F209" s="37">
        <f t="shared" si="155"/>
        <v>-0.6458807213230584</v>
      </c>
      <c r="G209" s="20">
        <f t="shared" si="156"/>
        <v>0.34438386855790531</v>
      </c>
      <c r="H209" s="37">
        <f t="shared" si="162"/>
        <v>-0.18292352159490449</v>
      </c>
      <c r="I209" s="37">
        <f t="shared" si="157"/>
        <v>1.1614733247380169</v>
      </c>
      <c r="J209" s="20">
        <f t="shared" si="163"/>
        <v>0.47424772487721328</v>
      </c>
      <c r="K209" s="20">
        <f>50*101325/8.314/O209/1000000</f>
        <v>2.0448447108701584E-3</v>
      </c>
      <c r="L209" s="38">
        <f t="shared" si="164"/>
        <v>48206958106244.187</v>
      </c>
      <c r="M209" s="20">
        <f t="shared" si="158"/>
        <v>8118806594840446</v>
      </c>
      <c r="N209" s="37">
        <f t="shared" si="159"/>
        <v>33.557046979865774</v>
      </c>
      <c r="O209" s="39">
        <v>298</v>
      </c>
      <c r="P209" s="40"/>
      <c r="Q209" s="20">
        <f t="shared" si="160"/>
        <v>6850852902912.2686</v>
      </c>
      <c r="R209" s="20">
        <f>0.000000000012*6.02E+23</f>
        <v>7224000000000</v>
      </c>
      <c r="S209" s="20">
        <f t="shared" si="166"/>
        <v>2.6681157106625492E-3</v>
      </c>
      <c r="T209" s="63"/>
      <c r="U209" s="24"/>
      <c r="V209" s="24">
        <v>5</v>
      </c>
      <c r="W209" s="20">
        <f>0.0000000000023*6.02E+23</f>
        <v>1384600000000</v>
      </c>
      <c r="X209" s="20"/>
    </row>
    <row r="210" spans="4:24" ht="15.75">
      <c r="D210" s="37">
        <f t="shared" si="165"/>
        <v>0.50159599779554709</v>
      </c>
      <c r="E210" s="37">
        <f t="shared" si="154"/>
        <v>-0.29964593737320039</v>
      </c>
      <c r="F210" s="37">
        <f t="shared" si="155"/>
        <v>-0.34485072565907721</v>
      </c>
      <c r="G210" s="20">
        <f t="shared" si="156"/>
        <v>0.68876773711581063</v>
      </c>
      <c r="H210" s="37">
        <f t="shared" si="162"/>
        <v>-0.18292352159490449</v>
      </c>
      <c r="I210" s="37">
        <f t="shared" si="157"/>
        <v>1.1614733247380169</v>
      </c>
      <c r="J210" s="20">
        <f t="shared" si="163"/>
        <v>0.47424772487721328</v>
      </c>
      <c r="K210" s="20">
        <f>100*101325/8.314/O210/1000000</f>
        <v>4.0896894217403168E-3</v>
      </c>
      <c r="L210" s="38">
        <f t="shared" si="164"/>
        <v>48206958106244.187</v>
      </c>
      <c r="M210" s="20">
        <f t="shared" si="158"/>
        <v>8118806594840446</v>
      </c>
      <c r="N210" s="37">
        <f t="shared" si="159"/>
        <v>33.557046979865774</v>
      </c>
      <c r="O210" s="39">
        <v>298</v>
      </c>
      <c r="P210" s="40"/>
      <c r="Q210" s="20">
        <f t="shared" si="160"/>
        <v>9862037808475.0898</v>
      </c>
      <c r="R210" s="20">
        <f>0.000000000017*6.02E+23</f>
        <v>10234000000000</v>
      </c>
      <c r="S210" s="20">
        <f t="shared" si="166"/>
        <v>1.3210120232104608E-3</v>
      </c>
      <c r="T210" s="63"/>
      <c r="U210" s="24"/>
      <c r="V210" s="24">
        <v>10</v>
      </c>
      <c r="W210" s="20">
        <f>0.0000000000039*6.02E+23</f>
        <v>2347800000000</v>
      </c>
      <c r="X210" s="20"/>
    </row>
    <row r="211" spans="4:24" ht="15.75">
      <c r="D211" s="37">
        <f t="shared" si="165"/>
        <v>0.47756778508216313</v>
      </c>
      <c r="E211" s="37">
        <f t="shared" si="154"/>
        <v>-0.32096497675499136</v>
      </c>
      <c r="F211" s="37">
        <f t="shared" si="155"/>
        <v>-0.11440180428080325</v>
      </c>
      <c r="G211" s="20">
        <f t="shared" si="156"/>
        <v>1.1709051530968781</v>
      </c>
      <c r="H211" s="37">
        <f t="shared" si="162"/>
        <v>-0.18292352159490449</v>
      </c>
      <c r="I211" s="37">
        <f t="shared" si="157"/>
        <v>1.1614733247380169</v>
      </c>
      <c r="J211" s="20">
        <f t="shared" si="163"/>
        <v>0.47424772487721328</v>
      </c>
      <c r="K211" s="20">
        <f>170*101325/8.314/O211/1000000</f>
        <v>6.9524720169585391E-3</v>
      </c>
      <c r="L211" s="38">
        <f t="shared" si="164"/>
        <v>48206958106244.187</v>
      </c>
      <c r="M211" s="20">
        <f t="shared" si="158"/>
        <v>8118806594840446</v>
      </c>
      <c r="N211" s="37">
        <f t="shared" si="159"/>
        <v>33.557046979865774</v>
      </c>
      <c r="O211" s="39">
        <v>298</v>
      </c>
      <c r="P211" s="40"/>
      <c r="Q211" s="20">
        <f t="shared" si="160"/>
        <v>12417255549631.33</v>
      </c>
      <c r="R211" s="20">
        <f>0.000000000023*6.02E+23</f>
        <v>13846000000000</v>
      </c>
      <c r="S211" s="20">
        <f t="shared" si="166"/>
        <v>1.0647814056702058E-2</v>
      </c>
      <c r="U211" s="24"/>
      <c r="V211" s="24">
        <v>25</v>
      </c>
      <c r="W211" s="20">
        <f>0.0000000000064*6.02E+23</f>
        <v>3852800000000</v>
      </c>
      <c r="X211" s="20"/>
    </row>
    <row r="212" spans="4:24" ht="15.75">
      <c r="D212" s="64">
        <f t="shared" si="165"/>
        <v>0.87269108332334644</v>
      </c>
      <c r="E212" s="64">
        <f t="shared" si="154"/>
        <v>-5.9139461392337417E-2</v>
      </c>
      <c r="F212" s="64">
        <f t="shared" si="155"/>
        <v>-3.4927808383489469</v>
      </c>
      <c r="G212" s="63">
        <f t="shared" si="156"/>
        <v>4.8993975789206996E-4</v>
      </c>
      <c r="H212" s="64">
        <f t="shared" si="162"/>
        <v>-0.18292352159490449</v>
      </c>
      <c r="I212" s="64">
        <f t="shared" si="157"/>
        <v>1.1614733247380169</v>
      </c>
      <c r="J212" s="63">
        <f t="shared" si="163"/>
        <v>0.47424772487721328</v>
      </c>
      <c r="K212" s="63">
        <v>1.3559410826672713E-5</v>
      </c>
      <c r="L212" s="65">
        <f t="shared" si="164"/>
        <v>71611384152110.969</v>
      </c>
      <c r="M212" s="63">
        <f t="shared" si="158"/>
        <v>2587521291469763</v>
      </c>
      <c r="N212" s="64">
        <f t="shared" si="159"/>
        <v>11.111111111111111</v>
      </c>
      <c r="O212" s="66">
        <v>900</v>
      </c>
      <c r="P212" s="67"/>
      <c r="Q212" s="63">
        <f t="shared" si="160"/>
        <v>30603603313.430058</v>
      </c>
      <c r="R212" s="63">
        <v>38069139842.088654</v>
      </c>
      <c r="S212" s="20">
        <f t="shared" si="166"/>
        <v>3.8457045951130454E-2</v>
      </c>
      <c r="T212" s="6"/>
      <c r="U212" s="24"/>
      <c r="V212" s="24">
        <v>50</v>
      </c>
      <c r="W212" s="20">
        <f>0.000000000012*6.02E+23</f>
        <v>7224000000000</v>
      </c>
      <c r="X212" s="20"/>
    </row>
    <row r="213" spans="4:24" ht="15.75">
      <c r="D213" s="64">
        <f t="shared" si="165"/>
        <v>0.87007352506766822</v>
      </c>
      <c r="E213" s="64">
        <f t="shared" si="154"/>
        <v>-6.0444046022813731E-2</v>
      </c>
      <c r="F213" s="64">
        <f t="shared" si="155"/>
        <v>-3.4271877362447269</v>
      </c>
      <c r="G213" s="63">
        <f t="shared" si="156"/>
        <v>5.6981750310815943E-4</v>
      </c>
      <c r="H213" s="64">
        <f t="shared" si="162"/>
        <v>-0.18292352159490449</v>
      </c>
      <c r="I213" s="64">
        <f t="shared" si="157"/>
        <v>1.1614733247380169</v>
      </c>
      <c r="J213" s="63">
        <f t="shared" si="163"/>
        <v>0.47424772487721328</v>
      </c>
      <c r="K213" s="63">
        <v>1.4350565075731448E-5</v>
      </c>
      <c r="L213" s="65">
        <f t="shared" si="164"/>
        <v>69692453847640.109</v>
      </c>
      <c r="M213" s="63">
        <f t="shared" si="158"/>
        <v>2767276398342022</v>
      </c>
      <c r="N213" s="64">
        <f t="shared" si="159"/>
        <v>11.778563015312132</v>
      </c>
      <c r="O213" s="66">
        <v>849</v>
      </c>
      <c r="P213" s="67"/>
      <c r="Q213" s="63">
        <f t="shared" si="160"/>
        <v>34532665141.133415</v>
      </c>
      <c r="R213" s="63">
        <v>39937584491.951538</v>
      </c>
      <c r="S213" s="20">
        <f t="shared" si="166"/>
        <v>1.8315334193112365E-2</v>
      </c>
      <c r="T213" s="6"/>
      <c r="U213" s="24"/>
      <c r="V213" s="24">
        <v>100</v>
      </c>
      <c r="W213" s="20">
        <f>0.000000000017*6.02E+23</f>
        <v>10234000000000</v>
      </c>
      <c r="X213" s="20"/>
    </row>
    <row r="214" spans="4:24" ht="15.75">
      <c r="D214" s="64">
        <f t="shared" si="165"/>
        <v>0.86871928365045747</v>
      </c>
      <c r="E214" s="64">
        <f t="shared" si="154"/>
        <v>-6.1120538001191903E-2</v>
      </c>
      <c r="F214" s="64">
        <f t="shared" si="155"/>
        <v>-3.3942197513603403</v>
      </c>
      <c r="G214" s="63">
        <f t="shared" si="156"/>
        <v>6.1475740718095926E-4</v>
      </c>
      <c r="H214" s="64">
        <f t="shared" si="162"/>
        <v>-0.18292352159490449</v>
      </c>
      <c r="I214" s="64">
        <f t="shared" si="157"/>
        <v>1.1614733247380169</v>
      </c>
      <c r="J214" s="63">
        <f t="shared" si="163"/>
        <v>0.47424772487721328</v>
      </c>
      <c r="K214" s="63">
        <v>1.4786314570359536E-5</v>
      </c>
      <c r="L214" s="65">
        <f t="shared" si="164"/>
        <v>68780252625280.203</v>
      </c>
      <c r="M214" s="63">
        <f t="shared" si="158"/>
        <v>2859615191328943</v>
      </c>
      <c r="N214" s="64">
        <f t="shared" si="159"/>
        <v>12.121212121212121</v>
      </c>
      <c r="O214" s="66">
        <v>825</v>
      </c>
      <c r="P214" s="67"/>
      <c r="Q214" s="63">
        <f t="shared" si="160"/>
        <v>36709637430.817322</v>
      </c>
      <c r="R214" s="63">
        <v>40887996651.027336</v>
      </c>
      <c r="S214" s="20">
        <f t="shared" si="166"/>
        <v>1.0442870290565358E-2</v>
      </c>
      <c r="U214" s="24"/>
      <c r="V214" s="24">
        <v>170</v>
      </c>
      <c r="W214" s="20">
        <f>0.000000000023*6.02E+23</f>
        <v>13846000000000</v>
      </c>
      <c r="X214" s="24"/>
    </row>
    <row r="215" spans="4:24" ht="15.75">
      <c r="D215" s="64">
        <f t="shared" si="165"/>
        <v>0.86727664009440075</v>
      </c>
      <c r="E215" s="64">
        <f t="shared" si="154"/>
        <v>-6.1842351078520943E-2</v>
      </c>
      <c r="F215" s="64">
        <f t="shared" si="155"/>
        <v>-3.3597943794103675</v>
      </c>
      <c r="G215" s="63">
        <f t="shared" si="156"/>
        <v>6.6547101182138789E-4</v>
      </c>
      <c r="H215" s="64">
        <f t="shared" si="162"/>
        <v>-0.18292352159490449</v>
      </c>
      <c r="I215" s="64">
        <f t="shared" si="157"/>
        <v>1.1614733247380169</v>
      </c>
      <c r="J215" s="63">
        <f t="shared" si="163"/>
        <v>0.47424772487721328</v>
      </c>
      <c r="K215" s="63">
        <v>1.5239478886471047E-5</v>
      </c>
      <c r="L215" s="65">
        <f t="shared" si="164"/>
        <v>67823786331033.422</v>
      </c>
      <c r="M215" s="63">
        <f t="shared" si="158"/>
        <v>2961699940759728.5</v>
      </c>
      <c r="N215" s="64">
        <f t="shared" si="159"/>
        <v>12.5</v>
      </c>
      <c r="O215" s="66">
        <v>800</v>
      </c>
      <c r="P215" s="67"/>
      <c r="Q215" s="63">
        <f t="shared" si="160"/>
        <v>39118294135.655235</v>
      </c>
      <c r="R215" s="63">
        <v>43933423765.371872</v>
      </c>
      <c r="S215" s="20">
        <f t="shared" si="166"/>
        <v>1.2012291644983211E-2</v>
      </c>
      <c r="U215" s="24"/>
      <c r="V215" s="24"/>
      <c r="W215" s="24" t="s">
        <v>26</v>
      </c>
      <c r="X215" s="24"/>
    </row>
    <row r="216" spans="4:24" ht="15.75">
      <c r="D216" s="64">
        <f t="shared" si="165"/>
        <v>0.86575636852331372</v>
      </c>
      <c r="E216" s="64">
        <f t="shared" si="154"/>
        <v>-6.2604305086777265E-2</v>
      </c>
      <c r="F216" s="64">
        <f t="shared" si="155"/>
        <v>-3.3242658180625071</v>
      </c>
      <c r="G216" s="63">
        <f t="shared" si="156"/>
        <v>7.2220036491542632E-4</v>
      </c>
      <c r="H216" s="64">
        <f t="shared" si="162"/>
        <v>-0.18292352159490449</v>
      </c>
      <c r="I216" s="64">
        <f t="shared" si="157"/>
        <v>1.1614733247380169</v>
      </c>
      <c r="J216" s="63">
        <f t="shared" si="163"/>
        <v>0.47424772487721328</v>
      </c>
      <c r="K216" s="63">
        <v>1.5726898667459284E-5</v>
      </c>
      <c r="L216" s="65">
        <f t="shared" si="164"/>
        <v>66860956989986.383</v>
      </c>
      <c r="M216" s="63">
        <f t="shared" si="158"/>
        <v>3070345181067009.5</v>
      </c>
      <c r="N216" s="64">
        <f t="shared" si="159"/>
        <v>12.903225806451612</v>
      </c>
      <c r="O216" s="66">
        <v>775</v>
      </c>
      <c r="P216" s="67"/>
      <c r="Q216" s="63">
        <f t="shared" si="160"/>
        <v>41774614649.941246</v>
      </c>
      <c r="R216" s="63">
        <v>48570234629.263168</v>
      </c>
      <c r="S216" s="20">
        <f t="shared" si="166"/>
        <v>1.9575720977022745E-2</v>
      </c>
      <c r="T216" s="58"/>
      <c r="U216" s="24">
        <v>298</v>
      </c>
      <c r="V216" s="24" t="s">
        <v>27</v>
      </c>
      <c r="W216" s="20">
        <v>6800000000000000</v>
      </c>
      <c r="X216" s="24"/>
    </row>
    <row r="217" spans="4:24" ht="15.75">
      <c r="D217" s="64">
        <f t="shared" si="165"/>
        <v>0.86414294307697626</v>
      </c>
      <c r="E217" s="64">
        <f t="shared" si="154"/>
        <v>-6.3414412318778618E-2</v>
      </c>
      <c r="F217" s="64">
        <f t="shared" si="155"/>
        <v>-3.2873713922413552</v>
      </c>
      <c r="G217" s="63">
        <f t="shared" si="156"/>
        <v>7.8623455900516932E-4</v>
      </c>
      <c r="H217" s="64">
        <f t="shared" si="162"/>
        <v>-0.18292352159490449</v>
      </c>
      <c r="I217" s="64">
        <f t="shared" si="157"/>
        <v>1.1614733247380169</v>
      </c>
      <c r="J217" s="63">
        <f t="shared" si="163"/>
        <v>0.47424772487721328</v>
      </c>
      <c r="K217" s="63">
        <v>1.6259804836773495E-5</v>
      </c>
      <c r="L217" s="65">
        <f t="shared" si="164"/>
        <v>65891818448659.562</v>
      </c>
      <c r="M217" s="63">
        <f t="shared" si="158"/>
        <v>3186165230154798.5</v>
      </c>
      <c r="N217" s="64">
        <f t="shared" si="159"/>
        <v>13.333333333333334</v>
      </c>
      <c r="O217" s="66">
        <v>750</v>
      </c>
      <c r="P217" s="67"/>
      <c r="Q217" s="63">
        <f t="shared" si="160"/>
        <v>44732985794.917839</v>
      </c>
      <c r="R217" s="63">
        <v>48941510953.821854</v>
      </c>
      <c r="S217" s="20">
        <f t="shared" si="166"/>
        <v>7.3944369371983379E-3</v>
      </c>
      <c r="T217" s="58"/>
      <c r="U217" s="73"/>
      <c r="V217" s="73"/>
      <c r="W217" s="73" t="s">
        <v>42</v>
      </c>
      <c r="X217" s="69"/>
    </row>
    <row r="218" spans="4:24" ht="15.75">
      <c r="D218" s="64">
        <f t="shared" si="165"/>
        <v>0.86246652177883476</v>
      </c>
      <c r="E218" s="64">
        <f t="shared" si="154"/>
        <v>-6.4257753865006262E-2</v>
      </c>
      <c r="F218" s="64">
        <f t="shared" si="155"/>
        <v>-3.2498886933069224</v>
      </c>
      <c r="G218" s="63">
        <f t="shared" si="156"/>
        <v>8.5710657821924901E-4</v>
      </c>
      <c r="H218" s="64">
        <f t="shared" si="162"/>
        <v>-0.18292352159490449</v>
      </c>
      <c r="I218" s="64">
        <f t="shared" si="157"/>
        <v>1.1614733247380169</v>
      </c>
      <c r="J218" s="63">
        <f t="shared" si="163"/>
        <v>0.47424772487721328</v>
      </c>
      <c r="K218" s="63">
        <v>1.6810527752234536E-5</v>
      </c>
      <c r="L218" s="65">
        <f t="shared" si="164"/>
        <v>64916465287181.75</v>
      </c>
      <c r="M218" s="63">
        <f t="shared" si="158"/>
        <v>3309850246967352.5</v>
      </c>
      <c r="N218" s="64">
        <f t="shared" si="159"/>
        <v>13.793103448275861</v>
      </c>
      <c r="O218" s="66">
        <v>725</v>
      </c>
      <c r="P218" s="67"/>
      <c r="Q218" s="63">
        <f t="shared" si="160"/>
        <v>47946825856.331436</v>
      </c>
      <c r="R218" s="63">
        <v>53954235564.321968</v>
      </c>
      <c r="S218" s="20">
        <f t="shared" si="166"/>
        <v>1.2397194547779503E-2</v>
      </c>
      <c r="T218" s="58"/>
      <c r="U218" s="71">
        <v>819</v>
      </c>
      <c r="V218" s="73">
        <v>10</v>
      </c>
      <c r="W218" s="73">
        <f>2400000000000000*10*101325/8.314/820/1000000</f>
        <v>356700716393.74078</v>
      </c>
      <c r="X218" s="69"/>
    </row>
    <row r="219" spans="4:24" ht="15.75">
      <c r="D219" s="3">
        <f t="shared" si="165"/>
        <v>0.87298496508054446</v>
      </c>
      <c r="E219" s="3">
        <f t="shared" si="154"/>
        <v>-5.8993235834845711E-2</v>
      </c>
      <c r="F219" s="3">
        <f t="shared" si="155"/>
        <v>-3.5003046243399005</v>
      </c>
      <c r="G219" s="4">
        <f t="shared" si="156"/>
        <v>4.8152506357729621E-4</v>
      </c>
      <c r="H219" s="3">
        <f t="shared" si="162"/>
        <v>-0.18292352159490449</v>
      </c>
      <c r="I219" s="3">
        <f t="shared" si="157"/>
        <v>1.1614733247380169</v>
      </c>
      <c r="J219" s="4">
        <f t="shared" si="163"/>
        <v>0.47424772487721328</v>
      </c>
      <c r="K219" s="4">
        <v>2.0744296981763651E-5</v>
      </c>
      <c r="L219" s="9">
        <f t="shared" si="164"/>
        <v>81521173435622.5</v>
      </c>
      <c r="M219" s="4">
        <f t="shared" si="158"/>
        <v>1892302653398792.5</v>
      </c>
      <c r="N219" s="3">
        <f t="shared" si="159"/>
        <v>8.5106382978723403</v>
      </c>
      <c r="O219" s="24">
        <v>1175</v>
      </c>
      <c r="P219" s="13"/>
      <c r="Q219" s="4">
        <f t="shared" si="160"/>
        <v>34252084791.979671</v>
      </c>
      <c r="R219" s="4">
        <v>36845073283.62989</v>
      </c>
      <c r="S219" s="20">
        <f t="shared" si="166"/>
        <v>4.9527035005950092E-3</v>
      </c>
      <c r="T219" s="58"/>
      <c r="U219" s="71">
        <v>820</v>
      </c>
      <c r="V219" s="73">
        <v>14</v>
      </c>
      <c r="W219" s="73">
        <f>2350000000000000*14*101325/8.314/820/1000000</f>
        <v>488977232056.41968</v>
      </c>
      <c r="X219" s="20"/>
    </row>
    <row r="220" spans="4:24" ht="15.75">
      <c r="D220" s="3">
        <f t="shared" si="165"/>
        <v>0.87485970549299608</v>
      </c>
      <c r="E220" s="3">
        <f t="shared" si="154"/>
        <v>-5.806158585236041E-2</v>
      </c>
      <c r="F220" s="3">
        <f t="shared" si="155"/>
        <v>-3.549088995692482</v>
      </c>
      <c r="G220" s="4">
        <f t="shared" si="156"/>
        <v>4.3036260326853132E-4</v>
      </c>
      <c r="H220" s="3">
        <f t="shared" si="162"/>
        <v>-0.18292352159490449</v>
      </c>
      <c r="I220" s="3">
        <f t="shared" si="157"/>
        <v>1.1614733247380169</v>
      </c>
      <c r="J220" s="4">
        <f t="shared" si="163"/>
        <v>0.47424772487721328</v>
      </c>
      <c r="K220" s="4">
        <v>1.989759098250799E-5</v>
      </c>
      <c r="L220" s="9">
        <f t="shared" si="164"/>
        <v>83249041959682.906</v>
      </c>
      <c r="M220" s="4">
        <f t="shared" si="158"/>
        <v>1800583520330484</v>
      </c>
      <c r="N220" s="3">
        <f t="shared" si="159"/>
        <v>8.1632653061224492</v>
      </c>
      <c r="O220" s="24">
        <v>1225</v>
      </c>
      <c r="P220" s="13"/>
      <c r="Q220" s="4">
        <f t="shared" si="160"/>
        <v>31330355332.12405</v>
      </c>
      <c r="R220" s="4">
        <v>33856342057.658516</v>
      </c>
      <c r="S220" s="20">
        <f t="shared" si="166"/>
        <v>5.5664980370828E-3</v>
      </c>
      <c r="T220" s="58"/>
      <c r="U220" s="71">
        <v>823</v>
      </c>
      <c r="V220" s="73">
        <v>10</v>
      </c>
      <c r="W220" s="73">
        <f>2460000000000000*10*101325/8.314/820/1000000</f>
        <v>365618234303.58423</v>
      </c>
      <c r="X220" s="63"/>
    </row>
    <row r="221" spans="4:24" ht="15.75">
      <c r="D221" s="3">
        <f t="shared" si="165"/>
        <v>0.87661594175385549</v>
      </c>
      <c r="E221" s="3">
        <f t="shared" si="154"/>
        <v>-5.7190635720871102E-2</v>
      </c>
      <c r="F221" s="3">
        <f t="shared" si="155"/>
        <v>-3.5960681317170207</v>
      </c>
      <c r="G221" s="4">
        <f t="shared" si="156"/>
        <v>3.8623834711068011E-4</v>
      </c>
      <c r="H221" s="3">
        <f t="shared" si="162"/>
        <v>-0.18292352159490449</v>
      </c>
      <c r="I221" s="3">
        <f t="shared" si="157"/>
        <v>1.1614733247380169</v>
      </c>
      <c r="J221" s="4">
        <f t="shared" si="163"/>
        <v>0.47424772487721328</v>
      </c>
      <c r="K221" s="4">
        <v>1.9117293296919443E-5</v>
      </c>
      <c r="L221" s="9">
        <f t="shared" si="164"/>
        <v>84955976930931.531</v>
      </c>
      <c r="M221" s="4">
        <f t="shared" si="158"/>
        <v>1716417465450696.8</v>
      </c>
      <c r="N221" s="3">
        <f t="shared" si="159"/>
        <v>7.8431372549019605</v>
      </c>
      <c r="O221" s="24">
        <v>1275</v>
      </c>
      <c r="P221" s="13"/>
      <c r="Q221" s="4">
        <f t="shared" si="160"/>
        <v>28753517693.079876</v>
      </c>
      <c r="R221" s="4">
        <v>31215523221.323006</v>
      </c>
      <c r="S221" s="20">
        <f t="shared" si="166"/>
        <v>6.2206649420226447E-3</v>
      </c>
      <c r="T221" s="58"/>
      <c r="U221" s="71">
        <v>826</v>
      </c>
      <c r="V221" s="73">
        <v>12</v>
      </c>
      <c r="W221" s="73">
        <f>2370000000000000*12*101325/8.314/820/1000000</f>
        <v>422690348926.58276</v>
      </c>
      <c r="X221" s="63"/>
    </row>
    <row r="222" spans="4:24" ht="15.75">
      <c r="D222" s="3">
        <f t="shared" si="165"/>
        <v>0.87826542657796425</v>
      </c>
      <c r="E222" s="3">
        <f t="shared" si="154"/>
        <v>-5.6374213162643509E-2</v>
      </c>
      <c r="F222" s="3">
        <f t="shared" si="155"/>
        <v>-3.641370094975628</v>
      </c>
      <c r="G222" s="4">
        <f t="shared" si="156"/>
        <v>3.4797931320052454E-4</v>
      </c>
      <c r="H222" s="3">
        <f t="shared" si="162"/>
        <v>-0.18292352159490449</v>
      </c>
      <c r="I222" s="3">
        <f t="shared" si="157"/>
        <v>1.1614733247380169</v>
      </c>
      <c r="J222" s="4">
        <f t="shared" si="163"/>
        <v>0.47424772487721328</v>
      </c>
      <c r="K222" s="4">
        <v>1.8395886002696068E-5</v>
      </c>
      <c r="L222" s="9">
        <f t="shared" si="164"/>
        <v>86642691252928.75</v>
      </c>
      <c r="M222" s="4">
        <f t="shared" si="158"/>
        <v>1638946022584643.7</v>
      </c>
      <c r="N222" s="3">
        <f t="shared" si="159"/>
        <v>7.5471698113207548</v>
      </c>
      <c r="O222" s="24">
        <v>1325</v>
      </c>
      <c r="P222" s="13"/>
      <c r="Q222" s="4">
        <f t="shared" si="160"/>
        <v>26470372197.464664</v>
      </c>
      <c r="R222" s="4">
        <v>28870749661.825073</v>
      </c>
      <c r="S222" s="20">
        <f t="shared" si="166"/>
        <v>6.9126243946322653E-3</v>
      </c>
      <c r="T222" s="58"/>
      <c r="U222" s="24"/>
      <c r="V222" s="24"/>
      <c r="W222" s="24" t="s">
        <v>28</v>
      </c>
      <c r="X222" s="63"/>
    </row>
    <row r="223" spans="4:24" ht="15.75">
      <c r="D223" s="3">
        <f t="shared" si="165"/>
        <v>0.8798183696028562</v>
      </c>
      <c r="E223" s="3">
        <f t="shared" si="154"/>
        <v>-5.5606974691651011E-2</v>
      </c>
      <c r="F223" s="3">
        <f t="shared" si="155"/>
        <v>-3.6851098742242163</v>
      </c>
      <c r="G223" s="4">
        <f t="shared" si="156"/>
        <v>3.1463979277479061E-4</v>
      </c>
      <c r="H223" s="3">
        <f t="shared" si="162"/>
        <v>-0.18292352159490449</v>
      </c>
      <c r="I223" s="3">
        <f t="shared" si="157"/>
        <v>1.1614733247380169</v>
      </c>
      <c r="J223" s="4">
        <f t="shared" si="163"/>
        <v>0.47424772487721328</v>
      </c>
      <c r="K223" s="4">
        <v>1.7726944693507119E-5</v>
      </c>
      <c r="L223" s="9">
        <f t="shared" si="164"/>
        <v>88309876886667.344</v>
      </c>
      <c r="M223" s="4">
        <f t="shared" si="158"/>
        <v>1567433184002962.5</v>
      </c>
      <c r="N223" s="3">
        <f t="shared" si="159"/>
        <v>7.2727272727272725</v>
      </c>
      <c r="O223" s="24">
        <v>1375</v>
      </c>
      <c r="P223" s="13"/>
      <c r="Q223" s="4">
        <f t="shared" si="160"/>
        <v>24438769044.593204</v>
      </c>
      <c r="R223" s="4">
        <v>26779460077.106174</v>
      </c>
      <c r="S223" s="20">
        <f t="shared" si="166"/>
        <v>7.6398450329969777E-3</v>
      </c>
      <c r="T223" s="58"/>
      <c r="U223" s="66">
        <v>900</v>
      </c>
      <c r="V223" s="62">
        <v>2807983888950180</v>
      </c>
      <c r="W223" s="63">
        <f t="shared" ref="W223:W229" si="167">101325/8.314/U223/1000000</f>
        <v>1.3541416085317938E-5</v>
      </c>
      <c r="X223" s="6">
        <f t="shared" ref="X223:X244" si="168">V223*W223</f>
        <v>38024078201.143585</v>
      </c>
    </row>
    <row r="224" spans="4:24" ht="15.75">
      <c r="D224" s="3">
        <f t="shared" si="165"/>
        <v>0.88128368507947796</v>
      </c>
      <c r="E224" s="3">
        <f t="shared" si="154"/>
        <v>-5.4884269757082452E-2</v>
      </c>
      <c r="F224" s="3">
        <f t="shared" si="155"/>
        <v>-3.7273910929394836</v>
      </c>
      <c r="G224" s="4">
        <f t="shared" si="156"/>
        <v>2.85451565176643E-4</v>
      </c>
      <c r="H224" s="3">
        <f t="shared" si="162"/>
        <v>-0.18292352159490449</v>
      </c>
      <c r="I224" s="3">
        <f t="shared" si="157"/>
        <v>1.1614733247380169</v>
      </c>
      <c r="J224" s="4">
        <f t="shared" si="163"/>
        <v>0.47424772487721328</v>
      </c>
      <c r="K224" s="4">
        <v>1.7104946634085817E-5</v>
      </c>
      <c r="L224" s="9">
        <f t="shared" si="164"/>
        <v>89958201555480.844</v>
      </c>
      <c r="M224" s="4">
        <f t="shared" si="158"/>
        <v>1501244638981613.5</v>
      </c>
      <c r="N224" s="3">
        <f t="shared" si="159"/>
        <v>7.0175438596491224</v>
      </c>
      <c r="O224" s="24">
        <v>1425</v>
      </c>
      <c r="P224" s="13"/>
      <c r="Q224" s="4">
        <f t="shared" si="160"/>
        <v>22623769688.04303</v>
      </c>
      <c r="R224" s="4">
        <v>24906466559.903522</v>
      </c>
      <c r="S224" s="20">
        <f t="shared" si="166"/>
        <v>8.3998638893616872E-3</v>
      </c>
      <c r="T224" s="58"/>
      <c r="U224" s="66">
        <v>849</v>
      </c>
      <c r="V224" s="62">
        <v>2782750949768470</v>
      </c>
      <c r="W224" s="63">
        <f t="shared" si="167"/>
        <v>1.435485804097308E-5</v>
      </c>
      <c r="X224" s="6">
        <f t="shared" si="168"/>
        <v>39945994847.309395</v>
      </c>
    </row>
    <row r="225" spans="4:24" ht="15.75">
      <c r="D225" s="3">
        <f t="shared" si="165"/>
        <v>0.8826691931643641</v>
      </c>
      <c r="E225" s="3">
        <f t="shared" si="154"/>
        <v>-5.420203085256102E-2</v>
      </c>
      <c r="F225" s="3">
        <f t="shared" si="155"/>
        <v>-3.7683074497755471</v>
      </c>
      <c r="G225" s="4">
        <f t="shared" si="156"/>
        <v>2.5978619668312836E-4</v>
      </c>
      <c r="H225" s="3">
        <f t="shared" si="162"/>
        <v>-0.18292352159490449</v>
      </c>
      <c r="I225" s="3">
        <f t="shared" si="157"/>
        <v>1.1614733247380169</v>
      </c>
      <c r="J225" s="4">
        <f t="shared" si="163"/>
        <v>0.47424772487721328</v>
      </c>
      <c r="K225" s="4">
        <v>1.6525117934625277E-5</v>
      </c>
      <c r="L225" s="9">
        <f t="shared" si="164"/>
        <v>91588306939312.047</v>
      </c>
      <c r="M225" s="4">
        <f t="shared" si="158"/>
        <v>1439831050800327.2</v>
      </c>
      <c r="N225" s="3">
        <f t="shared" si="159"/>
        <v>6.7796610169491522</v>
      </c>
      <c r="O225" s="24">
        <v>1475</v>
      </c>
      <c r="P225" s="13"/>
      <c r="Q225" s="4">
        <f t="shared" si="160"/>
        <v>20996227161.664814</v>
      </c>
      <c r="R225" s="4">
        <v>23222474391.427223</v>
      </c>
      <c r="S225" s="20">
        <f t="shared" si="166"/>
        <v>9.1903023384402437E-3</v>
      </c>
      <c r="T225" s="58"/>
      <c r="U225" s="66">
        <v>825</v>
      </c>
      <c r="V225" s="62">
        <v>2765914298132320</v>
      </c>
      <c r="W225" s="63">
        <f t="shared" si="167"/>
        <v>1.4772453911255932E-5</v>
      </c>
      <c r="X225" s="6">
        <f t="shared" si="168"/>
        <v>40859341491.643494</v>
      </c>
    </row>
    <row r="226" spans="4:24" ht="15.75">
      <c r="D226" s="3">
        <f t="shared" si="165"/>
        <v>0.88398178465144917</v>
      </c>
      <c r="E226" s="3">
        <f t="shared" si="154"/>
        <v>-5.3556683976594764E-2</v>
      </c>
      <c r="F226" s="3">
        <f t="shared" si="155"/>
        <v>-3.8079439394373824</v>
      </c>
      <c r="G226" s="4">
        <f t="shared" si="156"/>
        <v>2.3712622209464481E-4</v>
      </c>
      <c r="H226" s="3">
        <f t="shared" si="162"/>
        <v>-0.18292352159490449</v>
      </c>
      <c r="I226" s="3">
        <f t="shared" si="157"/>
        <v>1.1614733247380169</v>
      </c>
      <c r="J226" s="4">
        <f t="shared" si="163"/>
        <v>0.47424772487721328</v>
      </c>
      <c r="K226" s="4">
        <v>1.598331078922773E-5</v>
      </c>
      <c r="L226" s="9">
        <f t="shared" si="164"/>
        <v>93200807893664.203</v>
      </c>
      <c r="M226" s="4">
        <f t="shared" si="158"/>
        <v>1382714492850149.5</v>
      </c>
      <c r="N226" s="3">
        <f t="shared" si="159"/>
        <v>6.557377049180328</v>
      </c>
      <c r="O226" s="24">
        <v>1525</v>
      </c>
      <c r="P226" s="13"/>
      <c r="Q226" s="4">
        <f t="shared" si="160"/>
        <v>19531680198.027576</v>
      </c>
      <c r="R226" s="4">
        <v>21702937073.296474</v>
      </c>
      <c r="S226" s="20">
        <f t="shared" si="166"/>
        <v>1.0008877892066838E-2</v>
      </c>
      <c r="T226" s="58"/>
      <c r="U226" s="66">
        <v>800</v>
      </c>
      <c r="V226" s="62">
        <v>2882050796968990</v>
      </c>
      <c r="W226" s="63">
        <f t="shared" si="167"/>
        <v>1.523409309598268E-5</v>
      </c>
      <c r="X226" s="6">
        <f t="shared" si="168"/>
        <v>43905430148.376671</v>
      </c>
    </row>
    <row r="227" spans="4:24" ht="15.75">
      <c r="D227" s="3">
        <f t="shared" si="165"/>
        <v>0.8852275566708161</v>
      </c>
      <c r="E227" s="3">
        <f t="shared" si="154"/>
        <v>-5.2945075174288384E-2</v>
      </c>
      <c r="F227" s="3">
        <f t="shared" si="155"/>
        <v>-3.8463778926307373</v>
      </c>
      <c r="G227" s="4">
        <f t="shared" si="156"/>
        <v>2.1704292268088507E-4</v>
      </c>
      <c r="H227" s="3">
        <f t="shared" si="162"/>
        <v>-0.18292352159490449</v>
      </c>
      <c r="I227" s="3">
        <f t="shared" si="157"/>
        <v>1.1614733247380169</v>
      </c>
      <c r="J227" s="4">
        <f t="shared" si="163"/>
        <v>0.47424772487721328</v>
      </c>
      <c r="K227" s="4">
        <v>1.5475904097506214E-5</v>
      </c>
      <c r="L227" s="9">
        <f t="shared" si="164"/>
        <v>94796292368857.031</v>
      </c>
      <c r="M227" s="4">
        <f t="shared" si="158"/>
        <v>1329477374983465</v>
      </c>
      <c r="N227" s="3">
        <f t="shared" si="159"/>
        <v>6.3492063492063489</v>
      </c>
      <c r="O227" s="24">
        <v>1575</v>
      </c>
      <c r="P227" s="13"/>
      <c r="Q227" s="4">
        <f t="shared" si="160"/>
        <v>18209484662.081402</v>
      </c>
      <c r="R227" s="4">
        <v>20327162586.313957</v>
      </c>
      <c r="S227" s="20">
        <f t="shared" si="166"/>
        <v>1.0853412189582315E-2</v>
      </c>
      <c r="T227" s="58"/>
      <c r="U227" s="66">
        <v>775</v>
      </c>
      <c r="V227" s="62">
        <v>3089324101488360</v>
      </c>
      <c r="W227" s="63">
        <f t="shared" si="167"/>
        <v>1.5725515453917606E-5</v>
      </c>
      <c r="X227" s="6">
        <f t="shared" si="168"/>
        <v>48581213900.115326</v>
      </c>
    </row>
    <row r="228" spans="4:24" ht="15.75">
      <c r="D228" s="3">
        <f t="shared" si="165"/>
        <v>0.8864119251625463</v>
      </c>
      <c r="E228" s="3">
        <f t="shared" si="154"/>
        <v>-5.2364409883862963E-2</v>
      </c>
      <c r="F228" s="3">
        <f t="shared" si="155"/>
        <v>-3.8836798661058309</v>
      </c>
      <c r="G228" s="4">
        <f t="shared" si="156"/>
        <v>1.9917904947283976E-4</v>
      </c>
      <c r="H228" s="3">
        <f t="shared" si="162"/>
        <v>-0.18292352159490449</v>
      </c>
      <c r="I228" s="3">
        <f t="shared" si="157"/>
        <v>1.1614733247380169</v>
      </c>
      <c r="J228" s="4">
        <f t="shared" si="163"/>
        <v>0.47424772487721328</v>
      </c>
      <c r="K228" s="4">
        <v>1.4999722432967562E-5</v>
      </c>
      <c r="L228" s="9">
        <f t="shared" si="164"/>
        <v>96375321801946.422</v>
      </c>
      <c r="M228" s="4">
        <f t="shared" si="158"/>
        <v>1279753347099303</v>
      </c>
      <c r="N228" s="3">
        <f t="shared" si="159"/>
        <v>6.1538461538461542</v>
      </c>
      <c r="O228" s="24">
        <v>1625</v>
      </c>
      <c r="P228" s="13"/>
      <c r="Q228" s="4">
        <f t="shared" si="160"/>
        <v>17012126094.042517</v>
      </c>
      <c r="R228" s="4">
        <v>19077609821.65094</v>
      </c>
      <c r="S228" s="20">
        <f t="shared" si="166"/>
        <v>1.172183573680984E-2</v>
      </c>
      <c r="T228" s="58"/>
      <c r="U228" s="66">
        <v>750</v>
      </c>
      <c r="V228" s="62">
        <v>3013359779133480</v>
      </c>
      <c r="W228" s="63">
        <f t="shared" si="167"/>
        <v>1.6249699302381525E-5</v>
      </c>
      <c r="X228" s="6">
        <f t="shared" si="168"/>
        <v>48966190300.809853</v>
      </c>
    </row>
    <row r="229" spans="4:24" ht="15.75">
      <c r="D229" s="3">
        <f t="shared" si="165"/>
        <v>0.88753971864326453</v>
      </c>
      <c r="E229" s="3">
        <f t="shared" si="154"/>
        <v>-5.1812202552731793E-2</v>
      </c>
      <c r="F229" s="3">
        <f t="shared" si="155"/>
        <v>-3.9199144078307588</v>
      </c>
      <c r="G229" s="4">
        <f t="shared" si="156"/>
        <v>1.8323528742912834E-4</v>
      </c>
      <c r="H229" s="3">
        <f t="shared" si="162"/>
        <v>-0.18292352159490449</v>
      </c>
      <c r="I229" s="3">
        <f t="shared" si="157"/>
        <v>1.1614733247380169</v>
      </c>
      <c r="J229" s="4">
        <f t="shared" si="163"/>
        <v>0.47424772487721328</v>
      </c>
      <c r="K229" s="4">
        <v>1.4551969524520769E-5</v>
      </c>
      <c r="L229" s="9">
        <f t="shared" si="164"/>
        <v>97938431820964.672</v>
      </c>
      <c r="M229" s="4">
        <f t="shared" si="158"/>
        <v>1233219783399975.7</v>
      </c>
      <c r="N229" s="3">
        <f t="shared" si="159"/>
        <v>5.9701492537313436</v>
      </c>
      <c r="O229" s="24">
        <v>1675</v>
      </c>
      <c r="P229" s="13"/>
      <c r="Q229" s="4">
        <f t="shared" si="160"/>
        <v>15924671645.868696</v>
      </c>
      <c r="R229" s="4">
        <v>17939330324.227901</v>
      </c>
      <c r="S229" s="20">
        <f t="shared" si="166"/>
        <v>1.2612189988904642E-2</v>
      </c>
      <c r="T229" s="58"/>
      <c r="U229" s="66">
        <v>725</v>
      </c>
      <c r="V229" s="62">
        <v>3209966280860060</v>
      </c>
      <c r="W229" s="63">
        <f t="shared" si="167"/>
        <v>1.6810033761084338E-5</v>
      </c>
      <c r="X229" s="6">
        <f t="shared" si="168"/>
        <v>53959641553.199936</v>
      </c>
    </row>
    <row r="230" spans="4:24" ht="15.75">
      <c r="D230" s="3">
        <f t="shared" si="165"/>
        <v>0.88861525680582698</v>
      </c>
      <c r="E230" s="3">
        <f t="shared" si="154"/>
        <v>-5.1286234545856041E-2</v>
      </c>
      <c r="F230" s="3">
        <f t="shared" si="155"/>
        <v>-3.9551407176199</v>
      </c>
      <c r="G230" s="4">
        <f t="shared" si="156"/>
        <v>1.6895957326560387E-4</v>
      </c>
      <c r="H230" s="3">
        <f t="shared" si="162"/>
        <v>-0.18292352159490449</v>
      </c>
      <c r="I230" s="3">
        <f t="shared" si="157"/>
        <v>1.1614733247380169</v>
      </c>
      <c r="J230" s="4">
        <f t="shared" si="163"/>
        <v>0.47424772487721328</v>
      </c>
      <c r="K230" s="4">
        <v>1.4130173306418717E-5</v>
      </c>
      <c r="L230" s="9">
        <f t="shared" si="164"/>
        <v>99486133148339.266</v>
      </c>
      <c r="M230" s="4">
        <f t="shared" si="158"/>
        <v>1189591538481187.5</v>
      </c>
      <c r="N230" s="3">
        <f t="shared" si="159"/>
        <v>5.7971014492753623</v>
      </c>
      <c r="O230" s="24">
        <v>1725</v>
      </c>
      <c r="P230" s="13"/>
      <c r="Q230" s="4">
        <f t="shared" si="160"/>
        <v>14934330163.511414</v>
      </c>
      <c r="R230" s="4">
        <v>16899522047.680805</v>
      </c>
      <c r="S230" s="20">
        <f t="shared" si="166"/>
        <v>1.3522627336925332E-2</v>
      </c>
      <c r="T230" s="58"/>
      <c r="U230" s="24"/>
      <c r="V230" s="24"/>
      <c r="W230" s="24" t="s">
        <v>29</v>
      </c>
      <c r="X230" s="58"/>
    </row>
    <row r="231" spans="4:24" ht="15.75">
      <c r="D231" s="3">
        <f t="shared" si="165"/>
        <v>0.88964241674668398</v>
      </c>
      <c r="E231" s="3">
        <f t="shared" si="154"/>
        <v>-5.0784518792742178E-2</v>
      </c>
      <c r="F231" s="3">
        <f t="shared" si="155"/>
        <v>-3.9894132198100678</v>
      </c>
      <c r="G231" s="4">
        <f t="shared" si="156"/>
        <v>1.5613860747575584E-4</v>
      </c>
      <c r="H231" s="3">
        <f t="shared" si="162"/>
        <v>-0.18292352159490449</v>
      </c>
      <c r="I231" s="3">
        <f t="shared" si="157"/>
        <v>1.1614733247380169</v>
      </c>
      <c r="J231" s="4">
        <f t="shared" si="163"/>
        <v>0.47424772487721328</v>
      </c>
      <c r="K231" s="4">
        <v>1.3732140255533683E-5</v>
      </c>
      <c r="L231" s="9">
        <f t="shared" si="164"/>
        <v>101018912623680.02</v>
      </c>
      <c r="M231" s="4">
        <f t="shared" si="158"/>
        <v>1148615733036980.5</v>
      </c>
      <c r="N231" s="3">
        <f t="shared" si="159"/>
        <v>5.6338028169014081</v>
      </c>
      <c r="O231" s="24">
        <v>1775</v>
      </c>
      <c r="P231" s="13"/>
      <c r="Q231" s="4">
        <f t="shared" si="160"/>
        <v>14030096804.349056</v>
      </c>
      <c r="R231" s="4">
        <v>15947170163.363682</v>
      </c>
      <c r="S231" s="20">
        <f t="shared" si="166"/>
        <v>1.4451409489690302E-2</v>
      </c>
      <c r="T231" s="58"/>
      <c r="U231" s="24">
        <v>1175</v>
      </c>
      <c r="V231" s="24">
        <f>2580000000000000000*U231^(-1.03)</f>
        <v>1776154348157494</v>
      </c>
      <c r="W231" s="63">
        <f>2*101325/8.314/U231/1000000</f>
        <v>2.0744296981763651E-5</v>
      </c>
      <c r="X231" s="6">
        <f t="shared" si="168"/>
        <v>36845073283.62989</v>
      </c>
    </row>
    <row r="232" spans="4:24" ht="15.75">
      <c r="D232" s="3">
        <f t="shared" si="165"/>
        <v>0.89062468904166336</v>
      </c>
      <c r="E232" s="3">
        <f t="shared" si="154"/>
        <v>-5.0305269943691354E-2</v>
      </c>
      <c r="F232" s="3">
        <f t="shared" si="155"/>
        <v>-4.0227820616021397</v>
      </c>
      <c r="G232" s="4">
        <f t="shared" si="156"/>
        <v>1.445910661379629E-4</v>
      </c>
      <c r="H232" s="3">
        <f t="shared" si="162"/>
        <v>-0.18292352159490449</v>
      </c>
      <c r="I232" s="3">
        <f t="shared" si="157"/>
        <v>1.1614733247380169</v>
      </c>
      <c r="J232" s="4">
        <f t="shared" si="163"/>
        <v>0.47424772487721328</v>
      </c>
      <c r="K232" s="4">
        <v>1.335591723483413E-5</v>
      </c>
      <c r="L232" s="9">
        <f t="shared" si="164"/>
        <v>102537234289791.45</v>
      </c>
      <c r="M232" s="4">
        <f t="shared" si="158"/>
        <v>1110067377935736.5</v>
      </c>
      <c r="N232" s="3">
        <f t="shared" si="159"/>
        <v>5.4794520547945202</v>
      </c>
      <c r="O232" s="24">
        <v>1825</v>
      </c>
      <c r="P232" s="13"/>
      <c r="Q232" s="4">
        <f t="shared" si="160"/>
        <v>13202464203.453459</v>
      </c>
      <c r="R232" s="4">
        <v>15072756049.98497</v>
      </c>
      <c r="S232" s="20">
        <f t="shared" si="166"/>
        <v>1.5396904664913497E-2</v>
      </c>
      <c r="T232" s="58"/>
      <c r="U232" s="24">
        <v>1225</v>
      </c>
      <c r="V232" s="24">
        <f t="shared" ref="V232:V244" si="169">2580000000000000000*U232^(-1.03)</f>
        <v>1701529702134378.5</v>
      </c>
      <c r="W232" s="63">
        <f t="shared" ref="W232:W244" si="170">2*101325/8.314/U232/1000000</f>
        <v>1.989759098250799E-5</v>
      </c>
      <c r="X232" s="6">
        <f t="shared" si="168"/>
        <v>33856342057.658516</v>
      </c>
    </row>
    <row r="233" spans="4:24" ht="15.75">
      <c r="D233" s="3">
        <f t="shared" si="165"/>
        <v>0.87962544470078607</v>
      </c>
      <c r="E233" s="3">
        <f t="shared" si="154"/>
        <v>-5.5702216403884695E-2</v>
      </c>
      <c r="F233" s="3">
        <f t="shared" si="155"/>
        <v>-3.6796169954554667</v>
      </c>
      <c r="G233" s="4">
        <f t="shared" si="156"/>
        <v>3.1864457296609339E-4</v>
      </c>
      <c r="H233" s="3">
        <f t="shared" si="162"/>
        <v>-0.18292352159490449</v>
      </c>
      <c r="I233" s="3">
        <f t="shared" si="157"/>
        <v>1.1614733247380169</v>
      </c>
      <c r="J233" s="4">
        <f t="shared" si="163"/>
        <v>0.47424772487721328</v>
      </c>
      <c r="K233" s="4">
        <f>304*101325/760/8.314/O233/1000000</f>
        <v>6.5347316229416322E-6</v>
      </c>
      <c r="L233" s="9">
        <f t="shared" si="164"/>
        <v>65736176450958.789</v>
      </c>
      <c r="M233" s="4">
        <f t="shared" si="158"/>
        <v>3205407212149655</v>
      </c>
      <c r="N233" s="3">
        <f t="shared" si="159"/>
        <v>13.404825737265416</v>
      </c>
      <c r="O233" s="12">
        <v>746</v>
      </c>
      <c r="P233" s="13"/>
      <c r="Q233" s="4">
        <f t="shared" si="160"/>
        <v>18419183982.25005</v>
      </c>
      <c r="R233" s="4">
        <v>18969385161.43512</v>
      </c>
      <c r="S233" s="63">
        <f t="shared" si="166"/>
        <v>8.4127217375855887E-4</v>
      </c>
      <c r="T233" s="58"/>
      <c r="U233" s="24">
        <v>1275</v>
      </c>
      <c r="V233" s="24">
        <f t="shared" si="169"/>
        <v>1632842198762158</v>
      </c>
      <c r="W233" s="63">
        <f t="shared" si="170"/>
        <v>1.9117293296919443E-5</v>
      </c>
      <c r="X233" s="6">
        <f t="shared" si="168"/>
        <v>31215523221.323006</v>
      </c>
    </row>
    <row r="234" spans="4:24" ht="15.75">
      <c r="D234" s="3">
        <f t="shared" si="165"/>
        <v>0.88986756896835895</v>
      </c>
      <c r="E234" s="3">
        <f t="shared" si="154"/>
        <v>-5.067462070982226E-2</v>
      </c>
      <c r="F234" s="3">
        <f t="shared" si="155"/>
        <v>-3.9970099399458121</v>
      </c>
      <c r="G234" s="4">
        <f t="shared" si="156"/>
        <v>1.5343116464879063E-4</v>
      </c>
      <c r="H234" s="3">
        <f t="shared" si="162"/>
        <v>-0.18292352159490449</v>
      </c>
      <c r="I234" s="3">
        <f t="shared" si="157"/>
        <v>1.1614733247380169</v>
      </c>
      <c r="J234" s="4">
        <f t="shared" si="163"/>
        <v>0.47424772487721328</v>
      </c>
      <c r="K234" s="4">
        <f>304*101325/760/8.314/O234/1000000</f>
        <v>4.9391183289913448E-6</v>
      </c>
      <c r="L234" s="9">
        <f t="shared" si="164"/>
        <v>74824519218953.656</v>
      </c>
      <c r="M234" s="4">
        <f t="shared" si="158"/>
        <v>2324385115590940</v>
      </c>
      <c r="N234" s="3">
        <f t="shared" si="159"/>
        <v>10.131712259371835</v>
      </c>
      <c r="O234" s="12">
        <v>987</v>
      </c>
      <c r="P234" s="13"/>
      <c r="Q234" s="4">
        <f t="shared" si="160"/>
        <v>10214480101.431934</v>
      </c>
      <c r="R234" s="4">
        <v>12171702424.518497</v>
      </c>
      <c r="S234" s="63">
        <f t="shared" si="166"/>
        <v>2.5856972210046035E-2</v>
      </c>
      <c r="T234" s="58"/>
      <c r="U234" s="24">
        <v>1325</v>
      </c>
      <c r="V234" s="24">
        <f t="shared" si="169"/>
        <v>1569413381752519.5</v>
      </c>
      <c r="W234" s="63">
        <f t="shared" si="170"/>
        <v>1.8395886002696068E-5</v>
      </c>
      <c r="X234" s="6">
        <f t="shared" si="168"/>
        <v>28870749661.825073</v>
      </c>
    </row>
    <row r="235" spans="4:24" ht="15.75">
      <c r="D235" s="3">
        <f t="shared" si="165"/>
        <v>0.87400566569765248</v>
      </c>
      <c r="E235" s="3">
        <f t="shared" si="154"/>
        <v>-5.8485752064394138E-2</v>
      </c>
      <c r="F235" s="3">
        <f t="shared" si="155"/>
        <v>-3.5266943136038496</v>
      </c>
      <c r="G235" s="4">
        <f t="shared" si="156"/>
        <v>4.5313666915513851E-4</v>
      </c>
      <c r="H235" s="3">
        <f t="shared" si="162"/>
        <v>-0.18292352159490449</v>
      </c>
      <c r="I235" s="3">
        <f t="shared" si="157"/>
        <v>1.1614733247380169</v>
      </c>
      <c r="J235" s="4">
        <f t="shared" si="163"/>
        <v>0.47424772487721328</v>
      </c>
      <c r="K235" s="4">
        <f>50*101325/760/8.314/O235/1000000</f>
        <v>2.6905851458817871E-6</v>
      </c>
      <c r="L235" s="9">
        <f t="shared" si="164"/>
        <v>48206958106244.187</v>
      </c>
      <c r="M235" s="4">
        <f t="shared" si="158"/>
        <v>8118806594840446</v>
      </c>
      <c r="N235" s="3">
        <f t="shared" si="159"/>
        <v>33.557046979865774</v>
      </c>
      <c r="O235" s="12">
        <v>298</v>
      </c>
      <c r="P235" s="13"/>
      <c r="Q235" s="4">
        <f t="shared" si="160"/>
        <v>19083429894.212784</v>
      </c>
      <c r="R235" s="4"/>
      <c r="U235" s="24">
        <v>1375</v>
      </c>
      <c r="V235" s="24">
        <f t="shared" si="169"/>
        <v>1510664163515709.2</v>
      </c>
      <c r="W235" s="63">
        <f t="shared" si="170"/>
        <v>1.7726944693507119E-5</v>
      </c>
      <c r="X235" s="6">
        <f t="shared" si="168"/>
        <v>26779460077.106174</v>
      </c>
    </row>
    <row r="236" spans="4:24" ht="15.75">
      <c r="D236" s="3">
        <f>10^E236</f>
        <v>0.82092549837528128</v>
      </c>
      <c r="E236" s="3">
        <f>LOG(J236)/(1+(F236/(I236-0.14*F236))^2)</f>
        <v>-8.5696254710830894E-2</v>
      </c>
      <c r="F236" s="3">
        <f>LOG(G236)+H236</f>
        <v>-2.5266943136038496</v>
      </c>
      <c r="G236" s="4">
        <f>M236*K236/L236</f>
        <v>4.5313666915513867E-3</v>
      </c>
      <c r="H236" s="3">
        <f>-0.4-0.67*LOG(J236)</f>
        <v>-0.18292352159490449</v>
      </c>
      <c r="I236" s="3">
        <f>0.75-1.27*LOG(J236)</f>
        <v>1.1614733247380169</v>
      </c>
      <c r="J236" s="4">
        <f>(1-$B$10)*EXP(-O236/$B$11)+$B$10*EXP(-O236/$B$12)+EXP(-B$13/O236)</f>
        <v>0.47424772487721328</v>
      </c>
      <c r="K236" s="4">
        <f>500*101325/760/8.314/O236/1000000</f>
        <v>2.6905851458817875E-5</v>
      </c>
      <c r="L236" s="9">
        <f>B$4*O236^B$5*EXP(-B$6/1.987/O236)</f>
        <v>48206958106244.187</v>
      </c>
      <c r="M236" s="4">
        <f>$B$7*O236^$B$8*EXP(-$B$9/1.987/O236)</f>
        <v>8118806594840446</v>
      </c>
      <c r="N236" s="3">
        <f>10000/O236</f>
        <v>33.557046979865774</v>
      </c>
      <c r="O236" s="12">
        <v>298</v>
      </c>
      <c r="P236" s="13"/>
      <c r="Q236" s="4">
        <f>L236/(1+L236/M236/K236)*D236</f>
        <v>178516835270.70148</v>
      </c>
      <c r="R236" s="4"/>
      <c r="U236" s="24">
        <v>1425</v>
      </c>
      <c r="V236" s="24">
        <f t="shared" si="169"/>
        <v>1456097297039866.5</v>
      </c>
      <c r="W236" s="63">
        <f t="shared" si="170"/>
        <v>1.7104946634085817E-5</v>
      </c>
      <c r="X236" s="6">
        <f t="shared" si="168"/>
        <v>24906466559.903522</v>
      </c>
    </row>
    <row r="237" spans="4:24" ht="15.75">
      <c r="D237" s="59">
        <f t="shared" si="165"/>
        <v>0.84003637608649095</v>
      </c>
      <c r="E237" s="59">
        <f t="shared" si="154"/>
        <v>-7.5701907281472594E-2</v>
      </c>
      <c r="F237" s="59">
        <f t="shared" si="155"/>
        <v>-2.817960231438065</v>
      </c>
      <c r="G237" s="58">
        <f t="shared" si="156"/>
        <v>2.3171987745835539E-3</v>
      </c>
      <c r="H237" s="59">
        <f t="shared" si="162"/>
        <v>-0.18292352159490449</v>
      </c>
      <c r="I237" s="59">
        <f t="shared" si="157"/>
        <v>1.1614733247380169</v>
      </c>
      <c r="J237" s="58">
        <f t="shared" si="163"/>
        <v>0.47424772487721328</v>
      </c>
      <c r="K237" s="58">
        <f>250*101325/760/8.314/O237/1000000</f>
        <v>1.3601085209071968E-5</v>
      </c>
      <c r="L237" s="60">
        <f t="shared" si="164"/>
        <v>48104076652278.648</v>
      </c>
      <c r="M237" s="58">
        <f t="shared" si="158"/>
        <v>8195427479329720</v>
      </c>
      <c r="N237" s="59">
        <f t="shared" si="159"/>
        <v>33.926616746291828</v>
      </c>
      <c r="O237" s="74">
        <v>294.75382337064298</v>
      </c>
      <c r="P237" s="61"/>
      <c r="Q237" s="58">
        <f t="shared" si="160"/>
        <v>93419617175.901825</v>
      </c>
      <c r="R237" s="58">
        <v>106861934658.22092</v>
      </c>
      <c r="S237" s="58">
        <f>(R237-Q237)^2/R237^2</f>
        <v>1.5823488355988218E-2</v>
      </c>
      <c r="U237" s="24">
        <v>1475</v>
      </c>
      <c r="V237" s="24">
        <f t="shared" si="169"/>
        <v>1405283428735409.7</v>
      </c>
      <c r="W237" s="63">
        <f t="shared" si="170"/>
        <v>1.6525117934625277E-5</v>
      </c>
      <c r="X237" s="6">
        <f t="shared" si="168"/>
        <v>23222474391.427223</v>
      </c>
    </row>
    <row r="238" spans="4:24" ht="15.75">
      <c r="D238" s="59">
        <f t="shared" si="165"/>
        <v>0.86435900808643329</v>
      </c>
      <c r="E238" s="59">
        <f t="shared" si="154"/>
        <v>-6.3305837559270606E-2</v>
      </c>
      <c r="F238" s="59">
        <f t="shared" si="155"/>
        <v>-3.2922648406009154</v>
      </c>
      <c r="G238" s="58">
        <f t="shared" si="156"/>
        <v>7.7742531984247921E-4</v>
      </c>
      <c r="H238" s="59">
        <f t="shared" si="162"/>
        <v>-0.18292352159490449</v>
      </c>
      <c r="I238" s="59">
        <f t="shared" si="157"/>
        <v>1.1614733247380169</v>
      </c>
      <c r="J238" s="58">
        <f t="shared" si="163"/>
        <v>0.47424772487721328</v>
      </c>
      <c r="K238" s="58">
        <f t="shared" ref="K238:K255" si="171">250*101325/760/8.314/O238/1000000</f>
        <v>8.3305679178222038E-6</v>
      </c>
      <c r="L238" s="60">
        <f t="shared" si="164"/>
        <v>55155925089748.617</v>
      </c>
      <c r="M238" s="58">
        <f t="shared" si="158"/>
        <v>5147261642555017</v>
      </c>
      <c r="N238" s="59">
        <f t="shared" si="159"/>
        <v>20.779811366698482</v>
      </c>
      <c r="O238" s="74">
        <v>481.2363222904853</v>
      </c>
      <c r="P238" s="61"/>
      <c r="Q238" s="58">
        <f t="shared" si="160"/>
        <v>37034587877.725098</v>
      </c>
      <c r="R238" s="58">
        <v>40551568213.579437</v>
      </c>
      <c r="S238" s="58">
        <f t="shared" ref="S238:S241" si="172">(R238-Q238)^2/R238^2</f>
        <v>7.52184833366157E-3</v>
      </c>
      <c r="U238" s="24">
        <v>1525</v>
      </c>
      <c r="V238" s="24">
        <f t="shared" si="169"/>
        <v>1357849907287268.7</v>
      </c>
      <c r="W238" s="63">
        <f t="shared" si="170"/>
        <v>1.598331078922773E-5</v>
      </c>
      <c r="X238" s="6">
        <f t="shared" si="168"/>
        <v>21702937073.296474</v>
      </c>
    </row>
    <row r="239" spans="4:24" ht="15.75">
      <c r="D239" s="59">
        <f t="shared" si="165"/>
        <v>0.86477965930693701</v>
      </c>
      <c r="E239" s="59">
        <f t="shared" si="154"/>
        <v>-6.3094534080932629E-2</v>
      </c>
      <c r="F239" s="59">
        <f t="shared" si="155"/>
        <v>-3.3018334419042934</v>
      </c>
      <c r="G239" s="58">
        <f t="shared" si="156"/>
        <v>7.604839972477083E-4</v>
      </c>
      <c r="H239" s="59">
        <f t="shared" si="162"/>
        <v>-0.18292352159490449</v>
      </c>
      <c r="I239" s="59">
        <f t="shared" si="157"/>
        <v>1.1614733247380169</v>
      </c>
      <c r="J239" s="58">
        <f t="shared" si="163"/>
        <v>0.47424772487721328</v>
      </c>
      <c r="K239" s="58">
        <f t="shared" si="171"/>
        <v>8.2539029494275732E-6</v>
      </c>
      <c r="L239" s="60">
        <f t="shared" si="164"/>
        <v>55336473946848.187</v>
      </c>
      <c r="M239" s="58">
        <f t="shared" si="158"/>
        <v>5098497420982070</v>
      </c>
      <c r="N239" s="59">
        <f t="shared" si="159"/>
        <v>20.58857787609022</v>
      </c>
      <c r="O239" s="74">
        <v>485.70620371080264</v>
      </c>
      <c r="P239" s="61"/>
      <c r="Q239" s="58">
        <f t="shared" si="160"/>
        <v>36364437948.115837</v>
      </c>
      <c r="R239" s="58">
        <v>36744237423.890015</v>
      </c>
      <c r="S239" s="58">
        <f t="shared" si="172"/>
        <v>1.0683910584197734E-4</v>
      </c>
      <c r="T239" s="27"/>
      <c r="U239" s="24">
        <v>1575</v>
      </c>
      <c r="V239" s="24">
        <f t="shared" si="169"/>
        <v>1313471733750888</v>
      </c>
      <c r="W239" s="63">
        <f t="shared" si="170"/>
        <v>1.5475904097506214E-5</v>
      </c>
      <c r="X239" s="6">
        <f t="shared" si="168"/>
        <v>20327162586.313957</v>
      </c>
    </row>
    <row r="240" spans="4:24" ht="15.75">
      <c r="D240" s="59">
        <f t="shared" si="165"/>
        <v>0.86676740689792087</v>
      </c>
      <c r="E240" s="59">
        <f t="shared" si="154"/>
        <v>-6.20974278442748E-2</v>
      </c>
      <c r="F240" s="59">
        <f t="shared" si="155"/>
        <v>-3.3478093490051117</v>
      </c>
      <c r="G240" s="58">
        <f t="shared" si="156"/>
        <v>6.8409146588825458E-4</v>
      </c>
      <c r="H240" s="59">
        <f t="shared" si="162"/>
        <v>-0.18292352159490449</v>
      </c>
      <c r="I240" s="59">
        <f t="shared" si="157"/>
        <v>1.1614733247380169</v>
      </c>
      <c r="J240" s="58">
        <f t="shared" si="163"/>
        <v>0.47424772487721328</v>
      </c>
      <c r="K240" s="58">
        <f t="shared" si="171"/>
        <v>7.8972756527870062E-6</v>
      </c>
      <c r="L240" s="60">
        <f t="shared" si="164"/>
        <v>56223573536808.195</v>
      </c>
      <c r="M240" s="58">
        <f t="shared" si="158"/>
        <v>4870295596773002</v>
      </c>
      <c r="N240" s="59">
        <f t="shared" si="159"/>
        <v>19.69900491713835</v>
      </c>
      <c r="O240" s="74">
        <v>507.6398550111478</v>
      </c>
      <c r="P240" s="61"/>
      <c r="Q240" s="58">
        <f t="shared" si="160"/>
        <v>33314875515.315681</v>
      </c>
      <c r="R240" s="58">
        <v>32506153327.605309</v>
      </c>
      <c r="S240" s="58">
        <f t="shared" si="172"/>
        <v>6.189670887441623E-4</v>
      </c>
      <c r="T240" s="27"/>
      <c r="U240" s="24">
        <v>1625</v>
      </c>
      <c r="V240" s="24">
        <f t="shared" si="169"/>
        <v>1271864189947987.2</v>
      </c>
      <c r="W240" s="63">
        <f t="shared" si="170"/>
        <v>1.4999722432967562E-5</v>
      </c>
      <c r="X240" s="6">
        <f t="shared" si="168"/>
        <v>19077609821.65094</v>
      </c>
    </row>
    <row r="241" spans="4:27" ht="15.75">
      <c r="D241" s="59">
        <f t="shared" si="165"/>
        <v>0.86802957204692077</v>
      </c>
      <c r="E241" s="59">
        <f t="shared" si="154"/>
        <v>-6.1465479019330152E-2</v>
      </c>
      <c r="F241" s="59">
        <f t="shared" si="155"/>
        <v>-3.3776734226669149</v>
      </c>
      <c r="G241" s="58">
        <f t="shared" si="156"/>
        <v>6.3863115143211421E-4</v>
      </c>
      <c r="H241" s="59">
        <f t="shared" si="162"/>
        <v>-0.18292352159490449</v>
      </c>
      <c r="I241" s="59">
        <f t="shared" si="157"/>
        <v>1.1614733247380169</v>
      </c>
      <c r="J241" s="58">
        <f t="shared" si="163"/>
        <v>0.47424772487721328</v>
      </c>
      <c r="K241" s="58">
        <f t="shared" si="171"/>
        <v>7.6755821492123014E-6</v>
      </c>
      <c r="L241" s="60">
        <f t="shared" si="164"/>
        <v>56817096318808.594</v>
      </c>
      <c r="M241" s="58">
        <f t="shared" si="158"/>
        <v>4727350569342001</v>
      </c>
      <c r="N241" s="59">
        <f t="shared" si="159"/>
        <v>19.146011504090328</v>
      </c>
      <c r="O241" s="74">
        <v>522.30199474515166</v>
      </c>
      <c r="P241" s="61"/>
      <c r="Q241" s="58">
        <f t="shared" si="160"/>
        <v>31476496669.588467</v>
      </c>
      <c r="R241" s="58">
        <v>32740947099.516972</v>
      </c>
      <c r="S241" s="58">
        <f t="shared" si="172"/>
        <v>1.4914927293000891E-3</v>
      </c>
      <c r="T241" s="27"/>
      <c r="U241" s="24">
        <v>1675</v>
      </c>
      <c r="V241" s="24">
        <f t="shared" si="169"/>
        <v>1232776793134377.2</v>
      </c>
      <c r="W241" s="63">
        <f t="shared" si="170"/>
        <v>1.4551969524520769E-5</v>
      </c>
      <c r="X241" s="6">
        <f t="shared" si="168"/>
        <v>17939330324.227901</v>
      </c>
    </row>
    <row r="242" spans="4:27" ht="15.75">
      <c r="D242" s="59">
        <f t="shared" si="165"/>
        <v>0.86979840700768563</v>
      </c>
      <c r="E242" s="59">
        <f t="shared" si="154"/>
        <v>-6.0581392058594224E-2</v>
      </c>
      <c r="F242" s="59">
        <f t="shared" si="155"/>
        <v>-3.4204380324609578</v>
      </c>
      <c r="G242" s="58">
        <f t="shared" si="156"/>
        <v>5.7874265078501001E-4</v>
      </c>
      <c r="H242" s="59">
        <f t="shared" si="162"/>
        <v>-0.18292352159490449</v>
      </c>
      <c r="I242" s="59">
        <f t="shared" si="157"/>
        <v>1.1614733247380169</v>
      </c>
      <c r="J242" s="58">
        <f t="shared" si="163"/>
        <v>0.47424772487721328</v>
      </c>
      <c r="K242" s="58">
        <f t="shared" si="171"/>
        <v>7.3709717625101799E-6</v>
      </c>
      <c r="L242" s="60">
        <f t="shared" si="164"/>
        <v>57690634925982.602</v>
      </c>
      <c r="M242" s="58">
        <f t="shared" si="158"/>
        <v>4529664752258280</v>
      </c>
      <c r="N242" s="59">
        <f t="shared" si="159"/>
        <v>18.386189792239751</v>
      </c>
      <c r="O242" s="74">
        <v>543.88647745933167</v>
      </c>
      <c r="P242" s="61"/>
      <c r="Q242" s="58">
        <f t="shared" si="160"/>
        <v>29024058701.061661</v>
      </c>
      <c r="R242" s="58">
        <v>28923770378.387711</v>
      </c>
      <c r="S242" s="58">
        <f>(R242-Q242)^2/R242^2</f>
        <v>1.2022393135532544E-5</v>
      </c>
      <c r="T242" s="27"/>
      <c r="U242" s="24">
        <v>1725</v>
      </c>
      <c r="V242" s="24">
        <f t="shared" si="169"/>
        <v>1195988306810369.7</v>
      </c>
      <c r="W242" s="63">
        <f t="shared" si="170"/>
        <v>1.4130173306418717E-5</v>
      </c>
      <c r="X242" s="6">
        <f t="shared" si="168"/>
        <v>16899522047.680805</v>
      </c>
    </row>
    <row r="243" spans="4:27" ht="15.75">
      <c r="D243" s="59">
        <f t="shared" si="165"/>
        <v>0.87047758721786928</v>
      </c>
      <c r="E243" s="59">
        <f t="shared" si="154"/>
        <v>-6.0242406479921788E-2</v>
      </c>
      <c r="F243" s="59">
        <f t="shared" si="155"/>
        <v>-3.4371498441115249</v>
      </c>
      <c r="G243" s="58">
        <f t="shared" si="156"/>
        <v>5.5689546012128066E-4</v>
      </c>
      <c r="H243" s="59">
        <f t="shared" si="162"/>
        <v>-0.18292352159490449</v>
      </c>
      <c r="I243" s="59">
        <f t="shared" si="157"/>
        <v>1.1614733247380169</v>
      </c>
      <c r="J243" s="58">
        <f t="shared" si="163"/>
        <v>0.47424772487721328</v>
      </c>
      <c r="K243" s="58">
        <f t="shared" si="171"/>
        <v>7.2558657621120256E-6</v>
      </c>
      <c r="L243" s="60">
        <f t="shared" si="164"/>
        <v>58039550295389.422</v>
      </c>
      <c r="M243" s="58">
        <f t="shared" si="158"/>
        <v>4454597580313404</v>
      </c>
      <c r="N243" s="59">
        <f t="shared" si="159"/>
        <v>18.099068794122488</v>
      </c>
      <c r="O243" s="74">
        <v>552.51461352792978</v>
      </c>
      <c r="P243" s="61"/>
      <c r="Q243" s="58">
        <f t="shared" si="160"/>
        <v>28119883718.6329</v>
      </c>
      <c r="R243" s="58">
        <v>23575140765.488247</v>
      </c>
      <c r="S243" s="58">
        <f t="shared" ref="S243:S246" si="173">(R243-Q243)^2/R243^2</f>
        <v>3.7162939704030076E-2</v>
      </c>
      <c r="T243" s="27"/>
      <c r="U243" s="24">
        <v>1775</v>
      </c>
      <c r="V243" s="24">
        <f t="shared" si="169"/>
        <v>1161302598619862</v>
      </c>
      <c r="W243" s="63">
        <f t="shared" si="170"/>
        <v>1.3732140255533683E-5</v>
      </c>
      <c r="X243" s="6">
        <f t="shared" si="168"/>
        <v>15947170163.363682</v>
      </c>
    </row>
    <row r="244" spans="4:27" ht="15.75">
      <c r="D244" s="59">
        <f t="shared" si="165"/>
        <v>0.87212219267345059</v>
      </c>
      <c r="E244" s="59">
        <f t="shared" si="154"/>
        <v>-5.9422661987163131E-2</v>
      </c>
      <c r="F244" s="59">
        <f t="shared" si="155"/>
        <v>-3.478309452553904</v>
      </c>
      <c r="G244" s="58">
        <f t="shared" si="156"/>
        <v>5.0654037674370913E-4</v>
      </c>
      <c r="H244" s="59">
        <f t="shared" si="162"/>
        <v>-0.18292352159490449</v>
      </c>
      <c r="I244" s="59">
        <f t="shared" si="157"/>
        <v>1.1614733247380169</v>
      </c>
      <c r="J244" s="58">
        <f t="shared" si="163"/>
        <v>0.47424772487721328</v>
      </c>
      <c r="K244" s="58">
        <f t="shared" si="171"/>
        <v>6.9813369264597075E-6</v>
      </c>
      <c r="L244" s="60">
        <f t="shared" si="164"/>
        <v>58916973878495.461</v>
      </c>
      <c r="M244" s="58">
        <f t="shared" si="158"/>
        <v>4274801010090543</v>
      </c>
      <c r="N244" s="59">
        <f t="shared" si="159"/>
        <v>17.414282657589091</v>
      </c>
      <c r="O244" s="74">
        <v>574.24128209163018</v>
      </c>
      <c r="P244" s="61"/>
      <c r="Q244" s="58">
        <f t="shared" si="160"/>
        <v>26014285809.218914</v>
      </c>
      <c r="R244" s="58">
        <v>24106407875.955246</v>
      </c>
      <c r="S244" s="58">
        <f t="shared" si="173"/>
        <v>6.2637752858547011E-3</v>
      </c>
      <c r="T244" s="27"/>
      <c r="U244" s="24">
        <v>1825</v>
      </c>
      <c r="V244" s="24">
        <f t="shared" si="169"/>
        <v>1128545182256227.2</v>
      </c>
      <c r="W244" s="63">
        <f t="shared" si="170"/>
        <v>1.335591723483413E-5</v>
      </c>
      <c r="X244" s="6">
        <f t="shared" si="168"/>
        <v>15072756049.98497</v>
      </c>
    </row>
    <row r="245" spans="4:27" ht="15.75">
      <c r="D245" s="59">
        <f t="shared" si="165"/>
        <v>0.87301323461234992</v>
      </c>
      <c r="E245" s="59">
        <f t="shared" si="154"/>
        <v>-5.8979172473643669E-2</v>
      </c>
      <c r="F245" s="59">
        <f t="shared" si="155"/>
        <v>-3.5010301027949411</v>
      </c>
      <c r="G245" s="58">
        <f t="shared" si="156"/>
        <v>4.8072135904637529E-4</v>
      </c>
      <c r="H245" s="59">
        <f t="shared" si="162"/>
        <v>-0.18292352159490449</v>
      </c>
      <c r="I245" s="59">
        <f t="shared" si="157"/>
        <v>1.1614733247380169</v>
      </c>
      <c r="J245" s="58">
        <f t="shared" si="163"/>
        <v>0.47424772487721328</v>
      </c>
      <c r="K245" s="58">
        <f t="shared" si="171"/>
        <v>6.8350482321344015E-6</v>
      </c>
      <c r="L245" s="60">
        <f t="shared" si="164"/>
        <v>59412342870042.703</v>
      </c>
      <c r="M245" s="58">
        <f t="shared" si="158"/>
        <v>4178578005395785</v>
      </c>
      <c r="N245" s="59">
        <f t="shared" si="159"/>
        <v>17.049379387710324</v>
      </c>
      <c r="O245" s="74">
        <v>586.53161341510668</v>
      </c>
      <c r="P245" s="61"/>
      <c r="Q245" s="58">
        <f t="shared" si="160"/>
        <v>24921960340.357929</v>
      </c>
      <c r="R245" s="58">
        <v>22246140676.982094</v>
      </c>
      <c r="S245" s="58">
        <f t="shared" si="173"/>
        <v>1.4467860853979938E-2</v>
      </c>
      <c r="T245" s="27"/>
      <c r="U245" s="24"/>
      <c r="V245" s="24"/>
      <c r="W245" s="24" t="s">
        <v>30</v>
      </c>
      <c r="X245" s="58"/>
    </row>
    <row r="246" spans="4:27" ht="15.75">
      <c r="D246" s="59">
        <f t="shared" si="165"/>
        <v>0.87427503852458288</v>
      </c>
      <c r="E246" s="59">
        <f t="shared" si="154"/>
        <v>-5.8351921000590924E-2</v>
      </c>
      <c r="F246" s="59">
        <f t="shared" si="155"/>
        <v>-3.5337266075869844</v>
      </c>
      <c r="G246" s="58">
        <f t="shared" si="156"/>
        <v>4.458583597746011E-4</v>
      </c>
      <c r="H246" s="59">
        <f t="shared" si="162"/>
        <v>-0.18292352159490449</v>
      </c>
      <c r="I246" s="59">
        <f t="shared" si="157"/>
        <v>1.1614733247380169</v>
      </c>
      <c r="J246" s="58">
        <f t="shared" si="163"/>
        <v>0.47424772487721328</v>
      </c>
      <c r="K246" s="58">
        <f t="shared" si="171"/>
        <v>6.6307945049975266E-6</v>
      </c>
      <c r="L246" s="60">
        <f t="shared" si="164"/>
        <v>60138986747027.172</v>
      </c>
      <c r="M246" s="58">
        <f t="shared" si="158"/>
        <v>4043779364498042</v>
      </c>
      <c r="N246" s="59">
        <f t="shared" si="159"/>
        <v>16.539887842509771</v>
      </c>
      <c r="O246" s="74">
        <v>604.59902117949275</v>
      </c>
      <c r="P246" s="61"/>
      <c r="Q246" s="58">
        <f t="shared" si="160"/>
        <v>23431900199.489994</v>
      </c>
      <c r="R246" s="58">
        <v>21386227840.47171</v>
      </c>
      <c r="S246" s="58">
        <f t="shared" si="173"/>
        <v>9.1496351276517899E-3</v>
      </c>
      <c r="T246" s="27"/>
      <c r="U246" s="24">
        <v>746</v>
      </c>
      <c r="V246" s="24">
        <f>0.4*760</f>
        <v>304</v>
      </c>
      <c r="W246" s="20">
        <f>8.01E-33*6.02E+23*6.02E+23*0.4*101325/8.314/U246/1000000</f>
        <v>18969385161.43512</v>
      </c>
      <c r="X246" s="58"/>
    </row>
    <row r="247" spans="4:27" ht="15.75">
      <c r="D247" s="59">
        <f t="shared" si="165"/>
        <v>0.87525532202213596</v>
      </c>
      <c r="E247" s="59">
        <f t="shared" si="154"/>
        <v>-5.78652398113512E-2</v>
      </c>
      <c r="F247" s="59">
        <f t="shared" si="155"/>
        <v>-3.5595616859951247</v>
      </c>
      <c r="G247" s="58">
        <f t="shared" si="156"/>
        <v>4.2010885496373228E-4</v>
      </c>
      <c r="H247" s="59">
        <f t="shared" si="162"/>
        <v>-0.18292352159490449</v>
      </c>
      <c r="I247" s="59">
        <f t="shared" si="157"/>
        <v>1.1614733247380169</v>
      </c>
      <c r="J247" s="58">
        <f t="shared" si="163"/>
        <v>0.47424772487721328</v>
      </c>
      <c r="K247" s="58">
        <f t="shared" si="171"/>
        <v>6.4744374992320972E-6</v>
      </c>
      <c r="L247" s="60">
        <f t="shared" si="164"/>
        <v>60724661202204.297</v>
      </c>
      <c r="M247" s="58">
        <f t="shared" si="158"/>
        <v>3940260121245183</v>
      </c>
      <c r="N247" s="59">
        <f t="shared" si="159"/>
        <v>16.149870124904179</v>
      </c>
      <c r="O247" s="74">
        <v>619.20002592338699</v>
      </c>
      <c r="P247" s="61"/>
      <c r="Q247" s="58">
        <f t="shared" si="160"/>
        <v>22319233904.111897</v>
      </c>
      <c r="R247" s="58">
        <v>22182749629.020565</v>
      </c>
      <c r="S247" s="58">
        <f>(R247-Q247)^2/R247^2</f>
        <v>3.7855978816495923E-5</v>
      </c>
      <c r="T247" s="27"/>
      <c r="U247" s="24">
        <v>987</v>
      </c>
      <c r="V247" s="24">
        <f>0.4*760</f>
        <v>304</v>
      </c>
      <c r="W247" s="20">
        <f>6.8E-33*6.02E+23*6.02E+23*0.4*101325/8.314/U247/1000000</f>
        <v>12171702424.518497</v>
      </c>
      <c r="X247" s="58"/>
    </row>
    <row r="248" spans="4:27" ht="15.75">
      <c r="D248" s="59">
        <f t="shared" si="165"/>
        <v>0.87532674627168716</v>
      </c>
      <c r="E248" s="59">
        <f t="shared" si="154"/>
        <v>-5.7829801132944524E-2</v>
      </c>
      <c r="F248" s="59">
        <f t="shared" si="155"/>
        <v>-3.5614591583576649</v>
      </c>
      <c r="G248" s="58">
        <f t="shared" si="156"/>
        <v>4.1827736479193548E-4</v>
      </c>
      <c r="H248" s="59">
        <f t="shared" si="162"/>
        <v>-0.18292352159490449</v>
      </c>
      <c r="I248" s="59">
        <f t="shared" si="157"/>
        <v>1.1614733247380169</v>
      </c>
      <c r="J248" s="58">
        <f t="shared" si="163"/>
        <v>0.47424772487721328</v>
      </c>
      <c r="K248" s="58">
        <f t="shared" si="171"/>
        <v>6.4631240841811131E-6</v>
      </c>
      <c r="L248" s="60">
        <f t="shared" si="164"/>
        <v>60768077939330.695</v>
      </c>
      <c r="M248" s="58">
        <f t="shared" si="158"/>
        <v>3932759323953886</v>
      </c>
      <c r="N248" s="59">
        <f t="shared" si="159"/>
        <v>16.121649884340545</v>
      </c>
      <c r="O248" s="74">
        <v>620.28390839285669</v>
      </c>
      <c r="P248" s="61"/>
      <c r="Q248" s="58">
        <f t="shared" si="160"/>
        <v>22239675420.931507</v>
      </c>
      <c r="R248" s="58">
        <v>25712398503.673664</v>
      </c>
      <c r="S248" s="58">
        <f t="shared" ref="S248:S251" si="174">(R248-Q248)^2/R248^2</f>
        <v>1.8241272314409578E-2</v>
      </c>
      <c r="T248" s="27"/>
      <c r="U248" s="32"/>
      <c r="V248" s="32"/>
      <c r="W248" s="32" t="s">
        <v>57</v>
      </c>
      <c r="X248" s="58"/>
    </row>
    <row r="249" spans="4:27" ht="15.75">
      <c r="D249" s="59">
        <f t="shared" si="165"/>
        <v>0.87670664430546552</v>
      </c>
      <c r="E249" s="59">
        <f t="shared" si="154"/>
        <v>-5.7145702041230977E-2</v>
      </c>
      <c r="F249" s="59">
        <f t="shared" si="155"/>
        <v>-3.5985290822572775</v>
      </c>
      <c r="G249" s="58">
        <f t="shared" si="156"/>
        <v>3.8405589828167236E-4</v>
      </c>
      <c r="H249" s="59">
        <f t="shared" si="162"/>
        <v>-0.18292352159490449</v>
      </c>
      <c r="I249" s="59">
        <f t="shared" si="157"/>
        <v>1.1614733247380169</v>
      </c>
      <c r="J249" s="58">
        <f t="shared" si="163"/>
        <v>0.47424772487721328</v>
      </c>
      <c r="K249" s="58">
        <f t="shared" si="171"/>
        <v>6.2466388243738395E-6</v>
      </c>
      <c r="L249" s="60">
        <f t="shared" si="164"/>
        <v>61627336423592.5</v>
      </c>
      <c r="M249" s="58">
        <f t="shared" si="158"/>
        <v>3788972392083537.5</v>
      </c>
      <c r="N249" s="59">
        <f t="shared" si="159"/>
        <v>15.581647941274714</v>
      </c>
      <c r="O249" s="74">
        <v>641.78064076975375</v>
      </c>
      <c r="P249" s="61"/>
      <c r="Q249" s="58">
        <f t="shared" si="160"/>
        <v>20742226559.484787</v>
      </c>
      <c r="R249" s="58">
        <v>22517999414.053257</v>
      </c>
      <c r="S249" s="58">
        <f t="shared" si="174"/>
        <v>6.218923559737132E-3</v>
      </c>
      <c r="T249" s="27"/>
      <c r="U249" s="32">
        <v>294.75382337064298</v>
      </c>
      <c r="V249" s="32">
        <v>250</v>
      </c>
      <c r="W249" s="58">
        <v>106861934658.22092</v>
      </c>
      <c r="X249" s="58"/>
    </row>
    <row r="250" spans="4:27" ht="15.75">
      <c r="D250" s="59">
        <f t="shared" si="165"/>
        <v>0.87762403394545663</v>
      </c>
      <c r="E250" s="59">
        <f t="shared" si="154"/>
        <v>-5.6691492011549563E-2</v>
      </c>
      <c r="F250" s="59">
        <f t="shared" si="155"/>
        <v>-3.6236157833024318</v>
      </c>
      <c r="G250" s="58">
        <f t="shared" si="156"/>
        <v>3.6249977245223273E-4</v>
      </c>
      <c r="H250" s="59">
        <f t="shared" si="162"/>
        <v>-0.18292352159490449</v>
      </c>
      <c r="I250" s="59">
        <f t="shared" si="157"/>
        <v>1.1614733247380169</v>
      </c>
      <c r="J250" s="58">
        <f t="shared" si="163"/>
        <v>0.47424772487721328</v>
      </c>
      <c r="K250" s="58">
        <f t="shared" si="171"/>
        <v>6.1048947450917105E-6</v>
      </c>
      <c r="L250" s="60">
        <f t="shared" si="164"/>
        <v>62220789526996.711</v>
      </c>
      <c r="M250" s="58">
        <f t="shared" si="158"/>
        <v>3694580002950688</v>
      </c>
      <c r="N250" s="59">
        <f t="shared" si="159"/>
        <v>15.228080782482619</v>
      </c>
      <c r="O250" s="74">
        <v>656.68157024116533</v>
      </c>
      <c r="P250" s="61"/>
      <c r="Q250" s="58">
        <f t="shared" si="160"/>
        <v>19787656412.208443</v>
      </c>
      <c r="R250" s="58">
        <v>23030767945.443443</v>
      </c>
      <c r="S250" s="58">
        <f t="shared" si="174"/>
        <v>1.9829279320999697E-2</v>
      </c>
      <c r="T250" s="27"/>
      <c r="U250" s="32">
        <v>481.2363222904853</v>
      </c>
      <c r="V250" s="32">
        <v>250</v>
      </c>
      <c r="W250" s="58">
        <v>40551568213.579437</v>
      </c>
      <c r="X250" s="58"/>
    </row>
    <row r="251" spans="4:27" ht="15.75">
      <c r="D251" s="59">
        <f t="shared" si="165"/>
        <v>0.88049712881783671</v>
      </c>
      <c r="E251" s="59">
        <f t="shared" si="154"/>
        <v>-5.5272055870018419E-2</v>
      </c>
      <c r="F251" s="59">
        <f t="shared" si="155"/>
        <v>-3.7045709528739472</v>
      </c>
      <c r="G251" s="58">
        <f t="shared" si="156"/>
        <v>3.0085176847791844E-4</v>
      </c>
      <c r="H251" s="59">
        <f t="shared" si="162"/>
        <v>-0.18292352159490449</v>
      </c>
      <c r="I251" s="59">
        <f t="shared" si="157"/>
        <v>1.1614733247380169</v>
      </c>
      <c r="J251" s="58">
        <f t="shared" si="163"/>
        <v>0.47424772487721328</v>
      </c>
      <c r="K251" s="58">
        <f t="shared" si="171"/>
        <v>5.6720833514906249E-6</v>
      </c>
      <c r="L251" s="60">
        <f t="shared" si="164"/>
        <v>64202187621948.086</v>
      </c>
      <c r="M251" s="58">
        <f t="shared" si="158"/>
        <v>3405334599171243</v>
      </c>
      <c r="N251" s="59">
        <f t="shared" si="159"/>
        <v>14.148473821095571</v>
      </c>
      <c r="O251" s="74">
        <v>706.79001328679431</v>
      </c>
      <c r="P251" s="61"/>
      <c r="Q251" s="58">
        <f t="shared" si="160"/>
        <v>17001987818.744173</v>
      </c>
      <c r="R251" s="58">
        <v>21443393156.333824</v>
      </c>
      <c r="S251" s="58">
        <f t="shared" si="174"/>
        <v>4.2899655410842071E-2</v>
      </c>
      <c r="T251" s="27"/>
      <c r="U251" s="32">
        <v>485.70620371080264</v>
      </c>
      <c r="V251" s="32">
        <v>250</v>
      </c>
      <c r="W251" s="58">
        <v>36744237423.890015</v>
      </c>
      <c r="X251" s="58"/>
    </row>
    <row r="252" spans="4:27" ht="15.75">
      <c r="D252" s="59">
        <f t="shared" si="165"/>
        <v>0.87903963412546893</v>
      </c>
      <c r="E252" s="59">
        <f t="shared" si="154"/>
        <v>-5.5991543021867096E-2</v>
      </c>
      <c r="F252" s="59">
        <f t="shared" si="155"/>
        <v>-3.6630413336642804</v>
      </c>
      <c r="G252" s="58">
        <f t="shared" si="156"/>
        <v>3.3104130695943819E-4</v>
      </c>
      <c r="H252" s="59">
        <f t="shared" si="162"/>
        <v>-0.18292352159490449</v>
      </c>
      <c r="I252" s="59">
        <f t="shared" si="157"/>
        <v>1.1614733247380169</v>
      </c>
      <c r="J252" s="58">
        <f t="shared" si="163"/>
        <v>0.47424772487721328</v>
      </c>
      <c r="K252" s="58">
        <f t="shared" si="171"/>
        <v>5.8895538731290855E-6</v>
      </c>
      <c r="L252" s="60">
        <f t="shared" si="164"/>
        <v>63173045444585.898</v>
      </c>
      <c r="M252" s="58">
        <f t="shared" si="158"/>
        <v>3550844084133117</v>
      </c>
      <c r="N252" s="59">
        <f t="shared" si="159"/>
        <v>14.69093340632948</v>
      </c>
      <c r="O252" s="74">
        <v>680.69194267067974</v>
      </c>
      <c r="P252" s="61"/>
      <c r="Q252" s="58">
        <f t="shared" si="160"/>
        <v>18377173398.133358</v>
      </c>
      <c r="R252" s="58">
        <v>20033500456.816105</v>
      </c>
      <c r="S252" s="58">
        <f>(R252-Q252)^2/R252^2</f>
        <v>6.8356294636099857E-3</v>
      </c>
      <c r="T252" s="27"/>
      <c r="U252" s="32">
        <v>507.6398550111478</v>
      </c>
      <c r="V252" s="32">
        <v>250</v>
      </c>
      <c r="W252" s="58">
        <v>32506153327.605309</v>
      </c>
      <c r="X252" s="58"/>
    </row>
    <row r="253" spans="4:27" ht="15.75">
      <c r="D253" s="59">
        <f t="shared" si="165"/>
        <v>0.88078430329596147</v>
      </c>
      <c r="E253" s="59">
        <f t="shared" si="154"/>
        <v>-5.5130433651076859E-2</v>
      </c>
      <c r="F253" s="59">
        <f t="shared" si="155"/>
        <v>-3.7128689859262787</v>
      </c>
      <c r="G253" s="58">
        <f t="shared" si="156"/>
        <v>2.9515798421837568E-4</v>
      </c>
      <c r="H253" s="59">
        <f t="shared" si="162"/>
        <v>-0.18292352159490449</v>
      </c>
      <c r="I253" s="59">
        <f t="shared" si="157"/>
        <v>1.1614733247380169</v>
      </c>
      <c r="J253" s="58">
        <f t="shared" si="163"/>
        <v>0.47424772487721328</v>
      </c>
      <c r="K253" s="58">
        <f t="shared" si="171"/>
        <v>5.6297381614888739E-6</v>
      </c>
      <c r="L253" s="60">
        <f t="shared" si="164"/>
        <v>64411044093610.539</v>
      </c>
      <c r="M253" s="58">
        <f t="shared" si="158"/>
        <v>3376965924653789.5</v>
      </c>
      <c r="N253" s="59">
        <f t="shared" si="159"/>
        <v>14.042847761839646</v>
      </c>
      <c r="O253" s="74">
        <v>712.10627428250189</v>
      </c>
      <c r="P253" s="61"/>
      <c r="Q253" s="58">
        <f t="shared" si="160"/>
        <v>16740031640.044867</v>
      </c>
      <c r="R253" s="58">
        <v>16846562579.34387</v>
      </c>
      <c r="S253" s="58">
        <f t="shared" ref="S253:S255" si="175">(R253-Q253)^2/R253^2</f>
        <v>3.998792910098607E-5</v>
      </c>
      <c r="T253" s="27"/>
      <c r="U253" s="32">
        <v>522.30199474515166</v>
      </c>
      <c r="V253" s="32">
        <v>250</v>
      </c>
      <c r="W253" s="58">
        <v>32740947099.516972</v>
      </c>
      <c r="X253" s="58"/>
      <c r="AA253" s="6"/>
    </row>
    <row r="254" spans="4:27" ht="15.75">
      <c r="D254" s="59">
        <f t="shared" si="165"/>
        <v>0.87986529107179012</v>
      </c>
      <c r="E254" s="59">
        <f t="shared" ref="E254:E255" si="176">LOG(J254)/(1+(F254/(I254-0.14*F254))^2)</f>
        <v>-5.5583814011693572E-2</v>
      </c>
      <c r="F254" s="59">
        <f t="shared" ref="F254:F255" si="177">LOG(G254)+H254</f>
        <v>-3.6864483701002517</v>
      </c>
      <c r="G254" s="58">
        <f t="shared" ref="G254:G255" si="178">M254*K254/L254</f>
        <v>3.1367156553347201E-4</v>
      </c>
      <c r="H254" s="59">
        <f t="shared" si="162"/>
        <v>-0.18292352159490449</v>
      </c>
      <c r="I254" s="59">
        <f t="shared" ref="I254:I255" si="179">0.75-1.27*LOG(J254)</f>
        <v>1.1614733247380169</v>
      </c>
      <c r="J254" s="58">
        <f t="shared" si="163"/>
        <v>0.47424772487721328</v>
      </c>
      <c r="K254" s="58">
        <f t="shared" si="171"/>
        <v>5.7658332719887797E-6</v>
      </c>
      <c r="L254" s="60">
        <f t="shared" si="164"/>
        <v>63749791886253.758</v>
      </c>
      <c r="M254" s="58">
        <f t="shared" ref="M254:M255" si="180">$B$7*O254^$B$8*EXP(-$B$9/1.987/O254)</f>
        <v>3468101847575096.5</v>
      </c>
      <c r="N254" s="59">
        <f t="shared" ref="N254:N255" si="181">10000/O254</f>
        <v>14.382324103910852</v>
      </c>
      <c r="O254" s="74">
        <v>695.29791762103264</v>
      </c>
      <c r="P254" s="61"/>
      <c r="Q254" s="58">
        <f t="shared" ref="Q254:Q255" si="182">L254/(1+L254/M254/K254)*D254</f>
        <v>17588706596.771049</v>
      </c>
      <c r="R254" s="58">
        <v>16901975490.568996</v>
      </c>
      <c r="S254" s="58">
        <f t="shared" si="175"/>
        <v>1.6508153714170119E-3</v>
      </c>
      <c r="T254" s="27"/>
      <c r="U254" s="32">
        <v>543.88647745933167</v>
      </c>
      <c r="V254" s="32">
        <v>250</v>
      </c>
      <c r="W254" s="58">
        <v>28923770378.387711</v>
      </c>
      <c r="X254" s="58"/>
      <c r="AA254" s="6"/>
    </row>
    <row r="255" spans="4:27" ht="15.75">
      <c r="D255" s="59">
        <f t="shared" si="165"/>
        <v>0.87965646834049893</v>
      </c>
      <c r="E255" s="59">
        <f t="shared" si="176"/>
        <v>-5.5686899477771314E-2</v>
      </c>
      <c r="F255" s="59">
        <f t="shared" si="177"/>
        <v>-3.6804991442469936</v>
      </c>
      <c r="G255" s="58">
        <f t="shared" si="178"/>
        <v>3.1799799178737817E-4</v>
      </c>
      <c r="H255" s="59">
        <f t="shared" ref="H255" si="183">-0.4-0.67*LOG(J255)</f>
        <v>-0.18292352159490449</v>
      </c>
      <c r="I255" s="59">
        <f t="shared" si="179"/>
        <v>1.1614733247380169</v>
      </c>
      <c r="J255" s="58">
        <f t="shared" ref="J255" si="184">(1-$B$10)*EXP(-O255/$B$11)+$B$10*EXP(-O255/$B$12)+EXP(-B$13/O255)</f>
        <v>0.47424772487721328</v>
      </c>
      <c r="K255" s="58">
        <f t="shared" si="171"/>
        <v>5.7969942737510349E-6</v>
      </c>
      <c r="L255" s="60">
        <f t="shared" ref="L255" si="185">B$4*O255^B$5*EXP(-B$6/1.987/O255)</f>
        <v>63602396620917.875</v>
      </c>
      <c r="M255" s="58">
        <f t="shared" si="180"/>
        <v>3488951936678217.5</v>
      </c>
      <c r="N255" s="59">
        <f t="shared" si="181"/>
        <v>14.460052266624913</v>
      </c>
      <c r="O255" s="74">
        <v>691.56043253597977</v>
      </c>
      <c r="P255" s="61"/>
      <c r="Q255" s="58">
        <f t="shared" si="182"/>
        <v>17785778351.677074</v>
      </c>
      <c r="R255" s="58">
        <v>13784784019.627522</v>
      </c>
      <c r="S255" s="58">
        <f t="shared" si="175"/>
        <v>8.4243410482920639E-2</v>
      </c>
      <c r="T255" s="27"/>
      <c r="U255" s="32">
        <v>552.51461352792978</v>
      </c>
      <c r="V255" s="32">
        <v>250</v>
      </c>
      <c r="W255" s="58">
        <v>23575140765.488247</v>
      </c>
      <c r="X255" s="58"/>
      <c r="AA255" s="6"/>
    </row>
    <row r="256" spans="4:27" ht="15.75">
      <c r="D256" s="3">
        <f>10^E256</f>
        <v>0.88086495262249287</v>
      </c>
      <c r="E256" s="3">
        <f>LOG(J256)/(1+(F256/(I256-0.14*F256))^2)</f>
        <v>-5.5090669143597774E-2</v>
      </c>
      <c r="F256" s="3">
        <f>LOG(G256)+H256</f>
        <v>-3.7152063244647131</v>
      </c>
      <c r="G256" s="4">
        <f>M256*K256/L256</f>
        <v>2.9357373427932895E-4</v>
      </c>
      <c r="H256" s="3">
        <f>-0.4-0.67*LOG(J256)</f>
        <v>-0.18292352159490449</v>
      </c>
      <c r="I256" s="3">
        <f>0.75-1.27*LOG(J256)</f>
        <v>1.1614733247380169</v>
      </c>
      <c r="J256" s="4">
        <f>(1-$B$10)*EXP(-O256/$B$11)+$B$10*EXP(-O256/$B$12)+EXP(-B$13/O256)</f>
        <v>0.47424772487721328</v>
      </c>
      <c r="K256" s="4">
        <f>456*101325/760/8.314/O256/1000000</f>
        <v>8.1248496511907623E-6</v>
      </c>
      <c r="L256" s="9">
        <f>B$4*O256^B$5*EXP(-B$6/1.987/O256)</f>
        <v>71611384152110.969</v>
      </c>
      <c r="M256" s="4">
        <f>$B$7*O256^$B$8*EXP(-$B$9/1.987/O256)</f>
        <v>2587521291469763</v>
      </c>
      <c r="N256" s="3">
        <f>10000/O256</f>
        <v>11.111111111111111</v>
      </c>
      <c r="O256" s="12">
        <v>900</v>
      </c>
      <c r="P256" s="13"/>
      <c r="Q256" s="4">
        <f>L256/(1+L256/M256/K256)*D256</f>
        <v>18513183992.932148</v>
      </c>
      <c r="R256" s="4"/>
      <c r="T256" s="27"/>
      <c r="U256" s="32">
        <v>574.24128209163018</v>
      </c>
      <c r="V256" s="32">
        <v>250</v>
      </c>
      <c r="W256" s="58">
        <v>24106407875.955246</v>
      </c>
      <c r="X256" s="58"/>
      <c r="AA256" s="6"/>
    </row>
    <row r="257" spans="4:27" ht="15.75">
      <c r="D257" s="3">
        <f>10^E257</f>
        <v>0.87271365641297349</v>
      </c>
      <c r="E257" s="3">
        <f>LOG(J257)/(1+(F257/(I257-0.14*F257))^2)</f>
        <v>-5.912822804566218E-2</v>
      </c>
      <c r="F257" s="3">
        <f>LOG(G257)+H257</f>
        <v>-3.4933575748483565</v>
      </c>
      <c r="G257" s="4">
        <f>M257*K257/L257</f>
        <v>4.8928955713221499E-4</v>
      </c>
      <c r="H257" s="3">
        <f>-0.4-0.67*LOG(J257)</f>
        <v>-0.18292352159490449</v>
      </c>
      <c r="I257" s="3">
        <f>0.75-1.27*LOG(J257)</f>
        <v>1.1614733247380169</v>
      </c>
      <c r="J257" s="4">
        <f>(1-$B$10)*EXP(-O257/$B$11)+$B$10*EXP(-O257/$B$12)+EXP(-B$13/O257)</f>
        <v>0.47424772487721328</v>
      </c>
      <c r="K257" s="4">
        <f>760*101325/760/8.314/O257/1000000</f>
        <v>1.3541416085317938E-5</v>
      </c>
      <c r="L257" s="9">
        <f>B$4*O257^B$5*EXP(-B$6/1.987/O257)</f>
        <v>71611384152110.969</v>
      </c>
      <c r="M257" s="4">
        <f>$B$7*O257^$B$8*EXP(-$B$9/1.987/O257)</f>
        <v>2587521291469763</v>
      </c>
      <c r="N257" s="3">
        <f>10000/O257</f>
        <v>11.111111111111111</v>
      </c>
      <c r="O257" s="12">
        <v>900</v>
      </c>
      <c r="P257" s="13"/>
      <c r="Q257" s="4">
        <f>L257/(1+L257/M257/K257)*D257</f>
        <v>30563799572.162437</v>
      </c>
      <c r="R257" s="4"/>
      <c r="T257" s="27"/>
      <c r="U257" s="32">
        <v>586.53161341510668</v>
      </c>
      <c r="V257" s="32">
        <v>250</v>
      </c>
      <c r="W257" s="58">
        <v>22246140676.982094</v>
      </c>
      <c r="X257" s="58"/>
      <c r="AA257" s="6"/>
    </row>
    <row r="258" spans="4:27" ht="15.75">
      <c r="D258" s="3">
        <f>10^E258</f>
        <v>0.85981636504515124</v>
      </c>
      <c r="E258" s="3">
        <f>LOG(J258)/(1+(F258/(I258-0.14*F258))^2)</f>
        <v>-6.5594293132517287E-2</v>
      </c>
      <c r="F258" s="3">
        <f>LOG(G258)+H258</f>
        <v>-3.1923275791843753</v>
      </c>
      <c r="G258" s="4">
        <f>M258*K258/L258</f>
        <v>9.7857911426442999E-4</v>
      </c>
      <c r="H258" s="3">
        <f>-0.4-0.67*LOG(J258)</f>
        <v>-0.18292352159490449</v>
      </c>
      <c r="I258" s="3">
        <f>0.75-1.27*LOG(J258)</f>
        <v>1.1614733247380169</v>
      </c>
      <c r="J258" s="4">
        <f>(1-$B$10)*EXP(-O258/$B$11)+$B$10*EXP(-O258/$B$12)+EXP(-B$13/O258)</f>
        <v>0.47424772487721328</v>
      </c>
      <c r="K258" s="4">
        <f>1520*101325/760/8.314/O258/1000000</f>
        <v>2.7082832170635877E-5</v>
      </c>
      <c r="L258" s="9">
        <f>B$4*O258^B$5*EXP(-B$6/1.987/O258)</f>
        <v>71611384152110.969</v>
      </c>
      <c r="M258" s="4">
        <f>$B$7*O258^$B$8*EXP(-$B$9/1.987/O258)</f>
        <v>2587521291469763</v>
      </c>
      <c r="N258" s="3">
        <f>10000/O258</f>
        <v>11.111111111111111</v>
      </c>
      <c r="O258" s="12">
        <v>900</v>
      </c>
      <c r="P258" s="13"/>
      <c r="Q258" s="4">
        <f>L258/(1+L258/M258/K258)*D258</f>
        <v>60194794162.912048</v>
      </c>
      <c r="R258" s="4"/>
      <c r="T258" s="27"/>
      <c r="U258" s="32">
        <v>604.59902117949275</v>
      </c>
      <c r="V258" s="32">
        <v>250</v>
      </c>
      <c r="W258" s="58">
        <v>21386227840.47171</v>
      </c>
      <c r="X258" s="58"/>
      <c r="AA258" s="6"/>
    </row>
    <row r="259" spans="4:27" ht="15.75">
      <c r="D259" s="3">
        <f>10^E259</f>
        <v>0.83371586457504832</v>
      </c>
      <c r="E259" s="3">
        <f>LOG(J259)/(1+(F259/(I259-0.14*F259))^2)</f>
        <v>-7.8981934340979651E-2</v>
      </c>
      <c r="F259" s="3">
        <f>LOG(G259)+H259</f>
        <v>-2.7152063244647131</v>
      </c>
      <c r="G259" s="4">
        <f>M259*K259/L259</f>
        <v>2.9357373427932902E-3</v>
      </c>
      <c r="H259" s="3">
        <f>-0.4-0.67*LOG(J259)</f>
        <v>-0.18292352159490449</v>
      </c>
      <c r="I259" s="3">
        <f>0.75-1.27*LOG(J259)</f>
        <v>1.1614733247380169</v>
      </c>
      <c r="J259" s="4">
        <f>(1-$B$10)*EXP(-O259/$B$11)+$B$10*EXP(-O259/$B$12)+EXP(-B$13/O259)</f>
        <v>0.47424772487721328</v>
      </c>
      <c r="K259" s="4">
        <f>4560*101325/760/8.314/O259/1000000</f>
        <v>8.124849651190763E-5</v>
      </c>
      <c r="L259" s="9">
        <f>B$4*O259^B$5*EXP(-B$6/1.987/O259)</f>
        <v>71611384152110.969</v>
      </c>
      <c r="M259" s="4">
        <f>$B$7*O259^$B$8*EXP(-$B$9/1.987/O259)</f>
        <v>2587521291469763</v>
      </c>
      <c r="N259" s="3">
        <f>10000/O259</f>
        <v>11.111111111111111</v>
      </c>
      <c r="O259" s="12">
        <v>900</v>
      </c>
      <c r="P259" s="13"/>
      <c r="Q259" s="4">
        <f>L259/(1+L259/M259/K259)*D259</f>
        <v>174760880534.12183</v>
      </c>
      <c r="R259" s="4"/>
      <c r="T259" s="27"/>
      <c r="U259" s="32">
        <v>619.20002592338699</v>
      </c>
      <c r="V259" s="32">
        <v>250</v>
      </c>
      <c r="W259" s="58">
        <v>22182749629.020565</v>
      </c>
      <c r="X259" s="58"/>
      <c r="Z259" s="36"/>
      <c r="AA259" s="6"/>
    </row>
    <row r="260" spans="4:27" ht="15.75">
      <c r="D260" s="78">
        <f t="shared" ref="D260:D296" si="186">10^E260</f>
        <v>0.78837473259964597</v>
      </c>
      <c r="E260" s="78">
        <f t="shared" ref="E260:E296" si="187">LOG(J260)/(1+(F260/(I260-0.14*F260))^2)</f>
        <v>-0.10326730330227742</v>
      </c>
      <c r="F260" s="78">
        <f t="shared" ref="F260:F296" si="188">LOG(G260)+H260</f>
        <v>-2.1350788597258425</v>
      </c>
      <c r="G260" s="77">
        <f t="shared" ref="G260:G296" si="189">M260*K260/L260</f>
        <v>1.1164638403894854E-2</v>
      </c>
      <c r="H260" s="78">
        <f t="shared" ref="H260:H296" si="190">-0.4-0.67*LOG(J260)</f>
        <v>-0.18292352159490449</v>
      </c>
      <c r="I260" s="78">
        <f t="shared" ref="I260:I296" si="191">0.75-1.27*LOG(J260)</f>
        <v>1.1614733247380169</v>
      </c>
      <c r="J260" s="77">
        <f t="shared" ref="J260:J296" si="192">(1-$B$10)*EXP(-O260/$B$11)+$B$10*EXP(-O260/$B$12)+EXP(-B$13/O260)</f>
        <v>0.47424772487721328</v>
      </c>
      <c r="K260" s="77">
        <f>V272*101325/8.314/O260/1000000</f>
        <v>5.9098171105380782E-4</v>
      </c>
      <c r="L260" s="79">
        <f t="shared" ref="L260:L296" si="193">B$4*O260^B$5*EXP(-B$6/1.987/O260)</f>
        <v>86676224080300.453</v>
      </c>
      <c r="M260" s="77">
        <f t="shared" ref="M260:M296" si="194">$B$7*O260^$B$8*EXP(-$B$9/1.987/O260)</f>
        <v>1637459640410784.7</v>
      </c>
      <c r="N260" s="78">
        <f t="shared" ref="N260:N296" si="195">10000/O260</f>
        <v>7.5414781297134237</v>
      </c>
      <c r="O260" s="75">
        <v>1326</v>
      </c>
      <c r="P260" s="80"/>
      <c r="Q260" s="77">
        <f t="shared" ref="Q260:Q296" si="196">L260/(1+L260/M260/K260)*D260</f>
        <v>754493441204.08057</v>
      </c>
      <c r="R260" s="6">
        <v>921000000000</v>
      </c>
      <c r="S260" s="90">
        <f t="shared" ref="S260:S296" si="197">(R260-Q260)^2/R260^2</f>
        <v>3.2684619255682022E-2</v>
      </c>
      <c r="T260" s="27"/>
      <c r="U260" s="32">
        <v>620.28390839285669</v>
      </c>
      <c r="V260" s="32">
        <v>250</v>
      </c>
      <c r="W260" s="58">
        <v>25712398503.673664</v>
      </c>
      <c r="X260" s="58"/>
      <c r="Z260" s="36"/>
      <c r="AA260" s="6"/>
    </row>
    <row r="261" spans="4:27" ht="15.75">
      <c r="D261" s="78">
        <f t="shared" si="186"/>
        <v>0.78861856928982266</v>
      </c>
      <c r="E261" s="78">
        <f t="shared" si="187"/>
        <v>-0.10313300098184734</v>
      </c>
      <c r="F261" s="78">
        <f t="shared" si="188"/>
        <v>-2.1376439860293055</v>
      </c>
      <c r="G261" s="77">
        <f t="shared" si="189"/>
        <v>1.1098889703516825E-2</v>
      </c>
      <c r="H261" s="78">
        <f t="shared" si="190"/>
        <v>-0.18292352159490449</v>
      </c>
      <c r="I261" s="78">
        <f t="shared" si="191"/>
        <v>1.1614733247380169</v>
      </c>
      <c r="J261" s="77">
        <f t="shared" si="192"/>
        <v>0.47424772487721328</v>
      </c>
      <c r="K261" s="77">
        <f>V273*101325/8.314/O261/1000000</f>
        <v>6.1828559388087828E-4</v>
      </c>
      <c r="L261" s="79">
        <f t="shared" si="193"/>
        <v>88011194457654.984</v>
      </c>
      <c r="M261" s="77">
        <f t="shared" si="194"/>
        <v>1579895358436062.5</v>
      </c>
      <c r="N261" s="78">
        <f t="shared" si="195"/>
        <v>7.3206442166910692</v>
      </c>
      <c r="O261" s="75">
        <v>1366</v>
      </c>
      <c r="P261" s="80"/>
      <c r="Q261" s="77">
        <f t="shared" si="196"/>
        <v>761887443683.86536</v>
      </c>
      <c r="R261" s="6">
        <v>1040000000000</v>
      </c>
      <c r="S261" s="90">
        <f t="shared" si="197"/>
        <v>7.1511274020613136E-2</v>
      </c>
      <c r="T261" s="27"/>
      <c r="U261" s="32">
        <v>641.78064076975375</v>
      </c>
      <c r="V261" s="32">
        <v>250</v>
      </c>
      <c r="W261" s="58">
        <v>22517999414.053257</v>
      </c>
      <c r="Z261" s="36"/>
      <c r="AA261" s="6"/>
    </row>
    <row r="262" spans="4:27" ht="15.75">
      <c r="D262" s="78">
        <f t="shared" si="186"/>
        <v>0.7874880059670929</v>
      </c>
      <c r="E262" s="78">
        <f t="shared" si="187"/>
        <v>-0.10375605211864779</v>
      </c>
      <c r="F262" s="78">
        <f t="shared" si="188"/>
        <v>-2.1257900182746154</v>
      </c>
      <c r="G262" s="77">
        <f t="shared" si="189"/>
        <v>1.1406003573677397E-2</v>
      </c>
      <c r="H262" s="78">
        <f t="shared" si="190"/>
        <v>-0.18292352159490449</v>
      </c>
      <c r="I262" s="78">
        <f t="shared" si="191"/>
        <v>1.1614733247380169</v>
      </c>
      <c r="J262" s="77">
        <f t="shared" si="192"/>
        <v>0.47424772487721328</v>
      </c>
      <c r="K262" s="77">
        <f>V274*101325/8.314/O262/1000000</f>
        <v>5.5326357148584716E-4</v>
      </c>
      <c r="L262" s="79">
        <f t="shared" si="193"/>
        <v>84446051678216.844</v>
      </c>
      <c r="M262" s="77">
        <f t="shared" si="194"/>
        <v>1740927863076064.7</v>
      </c>
      <c r="N262" s="78">
        <f t="shared" si="195"/>
        <v>7.9365079365079367</v>
      </c>
      <c r="O262" s="75">
        <v>1260</v>
      </c>
      <c r="P262" s="80"/>
      <c r="Q262" s="77">
        <f t="shared" si="196"/>
        <v>749948209673.67957</v>
      </c>
      <c r="R262" s="6">
        <v>955000000000</v>
      </c>
      <c r="S262" s="90">
        <f t="shared" si="197"/>
        <v>4.6102065969714952E-2</v>
      </c>
      <c r="T262" s="27"/>
      <c r="U262" s="32">
        <v>656.68157024116533</v>
      </c>
      <c r="V262" s="32">
        <v>250</v>
      </c>
      <c r="W262" s="58">
        <v>23030767945.443443</v>
      </c>
      <c r="Z262" s="36"/>
      <c r="AA262" s="6"/>
    </row>
    <row r="263" spans="4:27" ht="15.75">
      <c r="D263" s="78">
        <f t="shared" si="186"/>
        <v>0.78943520903184394</v>
      </c>
      <c r="E263" s="78">
        <f t="shared" si="187"/>
        <v>-0.10268350785278554</v>
      </c>
      <c r="F263" s="78">
        <f t="shared" si="188"/>
        <v>-2.1462692671307155</v>
      </c>
      <c r="G263" s="77">
        <f t="shared" si="189"/>
        <v>1.0880635317962874E-2</v>
      </c>
      <c r="H263" s="78">
        <f t="shared" si="190"/>
        <v>-0.18292352159490449</v>
      </c>
      <c r="I263" s="78">
        <f t="shared" si="191"/>
        <v>1.1614733247380169</v>
      </c>
      <c r="J263" s="77">
        <f t="shared" si="192"/>
        <v>0.47424772487721328</v>
      </c>
      <c r="K263" s="77">
        <f>V275*101325/8.314/O263/1000000</f>
        <v>5.2920969994285313E-4</v>
      </c>
      <c r="L263" s="79">
        <f t="shared" si="193"/>
        <v>84514147535076.906</v>
      </c>
      <c r="M263" s="77">
        <f t="shared" si="194"/>
        <v>1737624269995396.2</v>
      </c>
      <c r="N263" s="78">
        <f t="shared" si="195"/>
        <v>7.9239302694136295</v>
      </c>
      <c r="O263" s="75">
        <v>1262</v>
      </c>
      <c r="P263" s="80"/>
      <c r="Q263" s="77">
        <f t="shared" si="196"/>
        <v>718125394627.69849</v>
      </c>
      <c r="R263" s="6">
        <v>875000000000</v>
      </c>
      <c r="S263" s="90">
        <f t="shared" si="197"/>
        <v>3.2143205630322066E-2</v>
      </c>
      <c r="U263" s="32">
        <v>706.79001328679431</v>
      </c>
      <c r="V263" s="32">
        <v>250</v>
      </c>
      <c r="W263" s="58">
        <v>21443393156.333824</v>
      </c>
      <c r="Z263" s="36"/>
      <c r="AA263" s="6"/>
    </row>
    <row r="264" spans="4:27" ht="15.75">
      <c r="D264" s="78">
        <f t="shared" si="186"/>
        <v>0.78224798260791739</v>
      </c>
      <c r="E264" s="78">
        <f t="shared" si="187"/>
        <v>-0.10665554821165603</v>
      </c>
      <c r="F264" s="78">
        <f t="shared" si="188"/>
        <v>-2.0721225062611301</v>
      </c>
      <c r="G264" s="77">
        <f t="shared" si="189"/>
        <v>1.2906277994059506E-2</v>
      </c>
      <c r="H264" s="78">
        <f t="shared" si="190"/>
        <v>-0.18292352159490449</v>
      </c>
      <c r="I264" s="78">
        <f t="shared" si="191"/>
        <v>1.1614733247380169</v>
      </c>
      <c r="J264" s="77">
        <f t="shared" si="192"/>
        <v>0.47424772487721328</v>
      </c>
      <c r="K264" s="77">
        <f>V276*101325/8.314/O264/1000000</f>
        <v>6.4223792004330428E-4</v>
      </c>
      <c r="L264" s="79">
        <f t="shared" si="193"/>
        <v>85091648885262.031</v>
      </c>
      <c r="M264" s="77">
        <f t="shared" si="194"/>
        <v>1709983856780125.7</v>
      </c>
      <c r="N264" s="78">
        <f t="shared" si="195"/>
        <v>7.8186082877247847</v>
      </c>
      <c r="O264" s="75">
        <v>1279</v>
      </c>
      <c r="P264" s="80"/>
      <c r="Q264" s="77">
        <f t="shared" si="196"/>
        <v>848131402756.31104</v>
      </c>
      <c r="R264" s="6">
        <v>962000000000</v>
      </c>
      <c r="S264" s="90">
        <f t="shared" si="197"/>
        <v>1.4010634288239428E-2</v>
      </c>
      <c r="U264" s="32">
        <v>680.69194267067974</v>
      </c>
      <c r="V264" s="32">
        <v>250</v>
      </c>
      <c r="W264" s="58">
        <v>20033500456.816105</v>
      </c>
      <c r="Z264" s="36"/>
      <c r="AA264" s="6"/>
    </row>
    <row r="265" spans="4:27" ht="15.75">
      <c r="D265" s="78">
        <f t="shared" si="186"/>
        <v>0.78155144720647218</v>
      </c>
      <c r="E265" s="78">
        <f t="shared" si="187"/>
        <v>-0.10704242839019462</v>
      </c>
      <c r="F265" s="78">
        <f t="shared" si="188"/>
        <v>-2.0651413331169128</v>
      </c>
      <c r="G265" s="77">
        <f t="shared" si="189"/>
        <v>1.3115419569788978E-2</v>
      </c>
      <c r="H265" s="78">
        <f t="shared" si="190"/>
        <v>-0.18292352159490449</v>
      </c>
      <c r="I265" s="78">
        <f t="shared" si="191"/>
        <v>1.1614733247380169</v>
      </c>
      <c r="J265" s="77">
        <f t="shared" si="192"/>
        <v>0.47424772487721328</v>
      </c>
      <c r="K265" s="77">
        <f>V277*101325/8.314/O265/1000000</f>
        <v>6.6226972156799117E-4</v>
      </c>
      <c r="L265" s="79">
        <f t="shared" si="193"/>
        <v>85464082470025.875</v>
      </c>
      <c r="M265" s="77">
        <f t="shared" si="194"/>
        <v>1692508751702550.5</v>
      </c>
      <c r="N265" s="78">
        <f t="shared" si="195"/>
        <v>7.7519379844961236</v>
      </c>
      <c r="O265" s="75">
        <v>1290</v>
      </c>
      <c r="P265" s="80"/>
      <c r="Q265" s="77">
        <f t="shared" si="196"/>
        <v>864698029326.95398</v>
      </c>
      <c r="R265" s="6">
        <v>994000000000</v>
      </c>
      <c r="S265" s="90">
        <f t="shared" si="197"/>
        <v>1.6921447821671733E-2</v>
      </c>
      <c r="U265" s="32">
        <v>712.10627428250189</v>
      </c>
      <c r="V265" s="32">
        <v>250</v>
      </c>
      <c r="W265" s="58">
        <v>16846562579.34387</v>
      </c>
      <c r="Z265" s="36"/>
      <c r="AA265" s="6"/>
    </row>
    <row r="266" spans="4:27" ht="15.75">
      <c r="D266" s="78">
        <f t="shared" si="186"/>
        <v>0.78276735077905202</v>
      </c>
      <c r="E266" s="78">
        <f t="shared" si="187"/>
        <v>-0.10636729705619653</v>
      </c>
      <c r="F266" s="78">
        <f t="shared" si="188"/>
        <v>-2.0773507779097016</v>
      </c>
      <c r="G266" s="77">
        <f t="shared" si="189"/>
        <v>1.2751836734411978E-2</v>
      </c>
      <c r="H266" s="78">
        <f t="shared" si="190"/>
        <v>-0.18292352159490449</v>
      </c>
      <c r="I266" s="78">
        <f t="shared" si="191"/>
        <v>1.1614733247380169</v>
      </c>
      <c r="J266" s="77">
        <f t="shared" si="192"/>
        <v>0.47424772487721328</v>
      </c>
      <c r="K266" s="77">
        <f>V278*101325/8.314/O266/1000000</f>
        <v>6.4476440492989434E-4</v>
      </c>
      <c r="L266" s="79">
        <f t="shared" si="193"/>
        <v>85497891935785.906</v>
      </c>
      <c r="M266" s="77">
        <f t="shared" si="194"/>
        <v>1690935713518621.7</v>
      </c>
      <c r="N266" s="78">
        <f t="shared" si="195"/>
        <v>7.7459333849728891</v>
      </c>
      <c r="O266" s="75">
        <v>1291</v>
      </c>
      <c r="P266" s="80"/>
      <c r="Q266" s="77">
        <f t="shared" si="196"/>
        <v>842670545347.93201</v>
      </c>
      <c r="R266" s="6">
        <v>979000000000</v>
      </c>
      <c r="S266" s="90">
        <f t="shared" si="197"/>
        <v>1.9391616391337876E-2</v>
      </c>
      <c r="U266" s="32">
        <v>695.29791762103264</v>
      </c>
      <c r="V266" s="32">
        <v>250</v>
      </c>
      <c r="W266" s="58">
        <v>16901975490.568996</v>
      </c>
      <c r="Z266" s="36"/>
      <c r="AA266" s="6"/>
    </row>
    <row r="267" spans="4:27" ht="15.75">
      <c r="D267" s="78">
        <f t="shared" si="186"/>
        <v>0.78379465137870696</v>
      </c>
      <c r="E267" s="78">
        <f t="shared" si="187"/>
        <v>-0.10579770447700143</v>
      </c>
      <c r="F267" s="78">
        <f t="shared" si="188"/>
        <v>-2.0877501607631723</v>
      </c>
      <c r="G267" s="77">
        <f t="shared" si="189"/>
        <v>1.2450114938739053E-2</v>
      </c>
      <c r="H267" s="78">
        <f t="shared" si="190"/>
        <v>-0.18292352159490449</v>
      </c>
      <c r="I267" s="78">
        <f t="shared" si="191"/>
        <v>1.1614733247380169</v>
      </c>
      <c r="J267" s="77">
        <f t="shared" si="192"/>
        <v>0.47424772487721328</v>
      </c>
      <c r="K267" s="77">
        <f>V279*101325/8.314/O267/1000000</f>
        <v>6.4967904245072892E-4</v>
      </c>
      <c r="L267" s="79">
        <f t="shared" si="193"/>
        <v>86306932493043.25</v>
      </c>
      <c r="M267" s="77">
        <f t="shared" si="194"/>
        <v>1653941653243143</v>
      </c>
      <c r="N267" s="78">
        <f t="shared" si="195"/>
        <v>7.6045627376425857</v>
      </c>
      <c r="O267" s="75">
        <v>1315</v>
      </c>
      <c r="P267" s="80"/>
      <c r="Q267" s="77">
        <f t="shared" si="196"/>
        <v>831855138374.26611</v>
      </c>
      <c r="R267" s="6">
        <v>1050000000000</v>
      </c>
      <c r="S267" s="90">
        <f t="shared" si="197"/>
        <v>4.3162975649624111E-2</v>
      </c>
      <c r="U267" s="32">
        <v>691.56043253597977</v>
      </c>
      <c r="V267" s="32">
        <v>250</v>
      </c>
      <c r="W267" s="58">
        <v>13784784019.627522</v>
      </c>
      <c r="Z267" s="36"/>
    </row>
    <row r="268" spans="4:27" ht="15.75">
      <c r="D268" s="78">
        <f t="shared" si="186"/>
        <v>0.78600531981839949</v>
      </c>
      <c r="E268" s="78">
        <f t="shared" si="187"/>
        <v>-0.10457451457133365</v>
      </c>
      <c r="F268" s="78">
        <f t="shared" si="188"/>
        <v>-2.1103945763783662</v>
      </c>
      <c r="G268" s="77">
        <f t="shared" si="189"/>
        <v>1.1817590727727026E-2</v>
      </c>
      <c r="H268" s="78">
        <f t="shared" si="190"/>
        <v>-0.18292352159490449</v>
      </c>
      <c r="I268" s="78">
        <f t="shared" si="191"/>
        <v>1.1614733247380169</v>
      </c>
      <c r="J268" s="77">
        <f t="shared" si="192"/>
        <v>0.47424772487721328</v>
      </c>
      <c r="K268" s="77">
        <f>V280*101325/8.314/O268/1000000</f>
        <v>6.2635427228094581E-4</v>
      </c>
      <c r="L268" s="79">
        <f t="shared" si="193"/>
        <v>86709749102452.641</v>
      </c>
      <c r="M268" s="77">
        <f t="shared" si="194"/>
        <v>1635975632871648.2</v>
      </c>
      <c r="N268" s="78">
        <f t="shared" si="195"/>
        <v>7.5357950263752826</v>
      </c>
      <c r="O268" s="75">
        <v>1327</v>
      </c>
      <c r="P268" s="80"/>
      <c r="Q268" s="77">
        <f t="shared" si="196"/>
        <v>796012952947.14612</v>
      </c>
      <c r="R268" s="105">
        <v>1120000000000</v>
      </c>
      <c r="S268" s="90">
        <f t="shared" si="197"/>
        <v>8.3679533368963777E-2</v>
      </c>
      <c r="U268" s="32"/>
      <c r="V268" s="32"/>
      <c r="W268" s="58"/>
      <c r="Z268" s="36"/>
    </row>
    <row r="269" spans="4:27" ht="15.75">
      <c r="D269" s="78">
        <f t="shared" si="186"/>
        <v>0.78893440160451977</v>
      </c>
      <c r="E269" s="78">
        <f t="shared" si="187"/>
        <v>-0.10295910604983181</v>
      </c>
      <c r="F269" s="78">
        <f t="shared" si="188"/>
        <v>-2.1409734899960009</v>
      </c>
      <c r="G269" s="77">
        <f t="shared" si="189"/>
        <v>1.1014125775796269E-2</v>
      </c>
      <c r="H269" s="78">
        <f t="shared" si="190"/>
        <v>-0.18292352159490449</v>
      </c>
      <c r="I269" s="78">
        <f t="shared" si="191"/>
        <v>1.1614733247380169</v>
      </c>
      <c r="J269" s="77">
        <f t="shared" si="192"/>
        <v>0.47424772487721328</v>
      </c>
      <c r="K269" s="77">
        <f>V281*101325/8.314/O269/1000000</f>
        <v>5.9666864625932162E-4</v>
      </c>
      <c r="L269" s="79">
        <f t="shared" si="193"/>
        <v>87278485534244.781</v>
      </c>
      <c r="M269" s="77">
        <f t="shared" si="194"/>
        <v>1611105633288786.5</v>
      </c>
      <c r="N269" s="78">
        <f t="shared" si="195"/>
        <v>7.4404761904761907</v>
      </c>
      <c r="O269" s="75">
        <v>1344</v>
      </c>
      <c r="P269" s="80"/>
      <c r="Q269" s="77">
        <f t="shared" si="196"/>
        <v>750137546590.28088</v>
      </c>
      <c r="R269" s="105">
        <v>1120000000000</v>
      </c>
      <c r="S269" s="90">
        <f t="shared" si="197"/>
        <v>0.10905471495715612</v>
      </c>
      <c r="W269" s="58"/>
      <c r="Z269" s="36"/>
    </row>
    <row r="270" spans="4:27" ht="15.75">
      <c r="D270" s="78">
        <f t="shared" si="186"/>
        <v>0.75935358230704919</v>
      </c>
      <c r="E270" s="78">
        <f t="shared" si="187"/>
        <v>-0.11955595389629509</v>
      </c>
      <c r="F270" s="78">
        <f t="shared" si="188"/>
        <v>-1.8591823505520042</v>
      </c>
      <c r="G270" s="77">
        <f t="shared" si="189"/>
        <v>2.1073718332035835E-2</v>
      </c>
      <c r="H270" s="78">
        <f t="shared" si="190"/>
        <v>-0.18292352159490449</v>
      </c>
      <c r="I270" s="78">
        <f t="shared" si="191"/>
        <v>1.1614733247380169</v>
      </c>
      <c r="J270" s="77">
        <f t="shared" si="192"/>
        <v>0.47424772487721328</v>
      </c>
      <c r="K270" s="77">
        <f>V282*101325/8.314/O270/1000000</f>
        <v>1.101114692469508E-3</v>
      </c>
      <c r="L270" s="79">
        <f t="shared" si="193"/>
        <v>86340543672543.953</v>
      </c>
      <c r="M270" s="77">
        <f t="shared" si="194"/>
        <v>1652431223044838.2</v>
      </c>
      <c r="N270" s="78">
        <f t="shared" si="195"/>
        <v>7.598784194528875</v>
      </c>
      <c r="O270" s="75">
        <v>1316</v>
      </c>
      <c r="P270" s="80"/>
      <c r="Q270" s="77">
        <f t="shared" si="196"/>
        <v>1353140516829.4602</v>
      </c>
      <c r="R270" s="6">
        <v>1440000000000</v>
      </c>
      <c r="S270" s="90">
        <f t="shared" si="197"/>
        <v>3.6383920797903578E-3</v>
      </c>
      <c r="W270" s="6" t="s">
        <v>58</v>
      </c>
      <c r="Z270" s="36"/>
    </row>
    <row r="271" spans="4:27" ht="15.75">
      <c r="D271" s="78">
        <f t="shared" si="186"/>
        <v>0.76312382250937372</v>
      </c>
      <c r="E271" s="78">
        <f t="shared" si="187"/>
        <v>-0.11740498882154325</v>
      </c>
      <c r="F271" s="78">
        <f t="shared" si="188"/>
        <v>-1.8920914948330982</v>
      </c>
      <c r="G271" s="77">
        <f t="shared" si="189"/>
        <v>1.9535837168366266E-2</v>
      </c>
      <c r="H271" s="78">
        <f t="shared" si="190"/>
        <v>-0.18292352159490449</v>
      </c>
      <c r="I271" s="78">
        <f t="shared" si="191"/>
        <v>1.1614733247380169</v>
      </c>
      <c r="J271" s="77">
        <f t="shared" si="192"/>
        <v>0.47424772487721328</v>
      </c>
      <c r="K271" s="77">
        <f>V283*101325/8.314/O271/1000000</f>
        <v>1.0421400622416981E-3</v>
      </c>
      <c r="L271" s="79">
        <f t="shared" si="193"/>
        <v>86877257325100.828</v>
      </c>
      <c r="M271" s="77">
        <f t="shared" si="194"/>
        <v>1628591025554296</v>
      </c>
      <c r="N271" s="78">
        <f t="shared" si="195"/>
        <v>7.5075075075075075</v>
      </c>
      <c r="O271" s="75">
        <v>1332</v>
      </c>
      <c r="P271" s="80"/>
      <c r="Q271" s="77">
        <f t="shared" si="196"/>
        <v>1270371212815.2244</v>
      </c>
      <c r="R271" s="6">
        <v>1320000000000</v>
      </c>
      <c r="S271" s="90">
        <f t="shared" si="197"/>
        <v>1.4135769728143655E-3</v>
      </c>
      <c r="V271" t="s">
        <v>59</v>
      </c>
      <c r="W271" s="6" t="s">
        <v>60</v>
      </c>
      <c r="Y271" t="s">
        <v>16</v>
      </c>
      <c r="Z271" s="36"/>
    </row>
    <row r="272" spans="4:27" ht="15.75">
      <c r="D272" s="78">
        <f t="shared" si="186"/>
        <v>0.76821330573550162</v>
      </c>
      <c r="E272" s="78">
        <f t="shared" si="187"/>
        <v>-0.11451817496638818</v>
      </c>
      <c r="F272" s="78">
        <f t="shared" si="188"/>
        <v>-1.9377814377922649</v>
      </c>
      <c r="G272" s="77">
        <f t="shared" si="189"/>
        <v>1.7584988304177394E-2</v>
      </c>
      <c r="H272" s="78">
        <f t="shared" si="190"/>
        <v>-0.18292352159490449</v>
      </c>
      <c r="I272" s="78">
        <f t="shared" si="191"/>
        <v>1.1614733247380169</v>
      </c>
      <c r="J272" s="77">
        <f t="shared" si="192"/>
        <v>0.47424772487721328</v>
      </c>
      <c r="K272" s="77">
        <f>V284*101325/8.314/O272/1000000</f>
        <v>9.9198745741282566E-4</v>
      </c>
      <c r="L272" s="79">
        <f t="shared" si="193"/>
        <v>88343026035662.953</v>
      </c>
      <c r="M272" s="77">
        <f t="shared" si="194"/>
        <v>1566059195591484.7</v>
      </c>
      <c r="N272" s="78">
        <f t="shared" si="195"/>
        <v>7.2674418604651159</v>
      </c>
      <c r="O272" s="75">
        <v>1376</v>
      </c>
      <c r="P272" s="80"/>
      <c r="Q272" s="77">
        <f t="shared" si="196"/>
        <v>1172804134954.4268</v>
      </c>
      <c r="R272" s="6">
        <v>1300000000000</v>
      </c>
      <c r="S272" s="90">
        <f t="shared" si="197"/>
        <v>9.5732473873915268E-3</v>
      </c>
      <c r="U272" s="75">
        <v>1326</v>
      </c>
      <c r="V272" s="76">
        <v>64.3</v>
      </c>
      <c r="W272" s="77">
        <v>1500000000000000</v>
      </c>
      <c r="X272" s="77">
        <f t="shared" ref="X272:X284" si="198">V272*101325/8.314/U272/1000000</f>
        <v>5.9098171105380782E-4</v>
      </c>
      <c r="Y272" s="77">
        <f t="shared" ref="Y272:Y284" si="199">W272*X272</f>
        <v>886472566580.71167</v>
      </c>
      <c r="Z272" s="36"/>
    </row>
    <row r="273" spans="4:26" ht="15.75">
      <c r="D273" s="84">
        <f t="shared" si="186"/>
        <v>0.80823513768521582</v>
      </c>
      <c r="E273" s="84">
        <f t="shared" si="187"/>
        <v>-9.2462272711635998E-2</v>
      </c>
      <c r="F273" s="84">
        <f t="shared" si="188"/>
        <v>-2.3610026963564246</v>
      </c>
      <c r="G273" s="83">
        <f t="shared" si="189"/>
        <v>6.636220766717809E-3</v>
      </c>
      <c r="H273" s="84">
        <f t="shared" si="190"/>
        <v>-0.18292352159490449</v>
      </c>
      <c r="I273" s="84">
        <f t="shared" si="191"/>
        <v>1.1614733247380169</v>
      </c>
      <c r="J273" s="83">
        <f t="shared" si="192"/>
        <v>0.47424772487721328</v>
      </c>
      <c r="K273" s="83">
        <v>3.1712283466417109E-4</v>
      </c>
      <c r="L273" s="85">
        <f t="shared" si="193"/>
        <v>84070938923052.75</v>
      </c>
      <c r="M273" s="83">
        <f t="shared" si="194"/>
        <v>1759297186370858.8</v>
      </c>
      <c r="N273" s="84">
        <f t="shared" si="195"/>
        <v>8.0064051240992793</v>
      </c>
      <c r="O273" s="81">
        <v>1249</v>
      </c>
      <c r="P273" s="86"/>
      <c r="Q273" s="83">
        <f t="shared" si="196"/>
        <v>447952430316.84332</v>
      </c>
      <c r="R273" s="53">
        <v>488341145704.54272</v>
      </c>
      <c r="S273" s="90">
        <f t="shared" si="197"/>
        <v>6.840273151985805E-3</v>
      </c>
      <c r="U273" s="75">
        <v>1366</v>
      </c>
      <c r="V273" s="76">
        <v>69.3</v>
      </c>
      <c r="W273" s="77">
        <v>1500000000000000</v>
      </c>
      <c r="X273" s="77">
        <f t="shared" si="198"/>
        <v>6.1828559388087828E-4</v>
      </c>
      <c r="Y273" s="77">
        <f t="shared" si="199"/>
        <v>927428390821.31738</v>
      </c>
      <c r="Z273" s="36"/>
    </row>
    <row r="274" spans="4:26" ht="15.75">
      <c r="D274" s="84">
        <f t="shared" si="186"/>
        <v>0.80765377329222632</v>
      </c>
      <c r="E274" s="84">
        <f t="shared" si="187"/>
        <v>-9.2774773598335719E-2</v>
      </c>
      <c r="F274" s="84">
        <f t="shared" si="188"/>
        <v>-2.3538511721921931</v>
      </c>
      <c r="G274" s="83">
        <f t="shared" si="189"/>
        <v>6.7464040712508274E-3</v>
      </c>
      <c r="H274" s="84">
        <f t="shared" si="190"/>
        <v>-0.18292352159490449</v>
      </c>
      <c r="I274" s="84">
        <f t="shared" si="191"/>
        <v>1.1614733247380169</v>
      </c>
      <c r="J274" s="83">
        <f t="shared" si="192"/>
        <v>0.47424772487721328</v>
      </c>
      <c r="K274" s="83">
        <v>3.1844168794183152E-4</v>
      </c>
      <c r="L274" s="85">
        <f t="shared" si="193"/>
        <v>83763287678588.391</v>
      </c>
      <c r="M274" s="83">
        <f t="shared" si="194"/>
        <v>1774582306319792.5</v>
      </c>
      <c r="N274" s="84">
        <f t="shared" si="195"/>
        <v>8.064516129032258</v>
      </c>
      <c r="O274" s="81">
        <v>1240</v>
      </c>
      <c r="P274" s="86"/>
      <c r="Q274" s="83">
        <f t="shared" si="196"/>
        <v>453347477571.09717</v>
      </c>
      <c r="R274" s="53">
        <v>493041465837.65759</v>
      </c>
      <c r="S274" s="90">
        <f t="shared" si="197"/>
        <v>6.4816053177758782E-3</v>
      </c>
      <c r="U274" s="75">
        <v>1260</v>
      </c>
      <c r="V274" s="76">
        <v>57.2</v>
      </c>
      <c r="W274" s="77">
        <v>2000000000000000</v>
      </c>
      <c r="X274" s="77">
        <f t="shared" si="198"/>
        <v>5.5326357148584716E-4</v>
      </c>
      <c r="Y274" s="77">
        <f t="shared" si="199"/>
        <v>1106527142971.6943</v>
      </c>
      <c r="Z274" s="36"/>
    </row>
    <row r="275" spans="4:26" ht="15.75">
      <c r="D275" s="84">
        <f t="shared" si="186"/>
        <v>0.81033635658648617</v>
      </c>
      <c r="E275" s="84">
        <f t="shared" si="187"/>
        <v>-9.133467558050723E-2</v>
      </c>
      <c r="F275" s="84">
        <f t="shared" si="188"/>
        <v>-2.387152898299659</v>
      </c>
      <c r="G275" s="83">
        <f t="shared" si="189"/>
        <v>6.2484258913456181E-3</v>
      </c>
      <c r="H275" s="84">
        <f t="shared" si="190"/>
        <v>-0.18292352159490449</v>
      </c>
      <c r="I275" s="84">
        <f t="shared" si="191"/>
        <v>1.1614733247380169</v>
      </c>
      <c r="J275" s="83">
        <f t="shared" si="192"/>
        <v>0.47424772487721328</v>
      </c>
      <c r="K275" s="83">
        <v>3.0104024604013583E-4</v>
      </c>
      <c r="L275" s="85">
        <f t="shared" si="193"/>
        <v>84275668920579.984</v>
      </c>
      <c r="M275" s="83">
        <f t="shared" si="194"/>
        <v>1749235454795689.2</v>
      </c>
      <c r="N275" s="84">
        <f t="shared" si="195"/>
        <v>7.9681274900398407</v>
      </c>
      <c r="O275" s="81">
        <v>1255</v>
      </c>
      <c r="P275" s="86"/>
      <c r="Q275" s="83">
        <f t="shared" si="196"/>
        <v>424065500326.39478</v>
      </c>
      <c r="R275" s="53">
        <v>459173604316.15625</v>
      </c>
      <c r="S275" s="90">
        <f t="shared" si="197"/>
        <v>5.8460284280550728E-3</v>
      </c>
      <c r="U275" s="75">
        <v>1262</v>
      </c>
      <c r="V275" s="76">
        <v>54.8</v>
      </c>
      <c r="W275" s="77">
        <v>1800000000000000</v>
      </c>
      <c r="X275" s="77">
        <f t="shared" si="198"/>
        <v>5.2920969994285313E-4</v>
      </c>
      <c r="Y275" s="77">
        <f t="shared" si="199"/>
        <v>952577459897.13562</v>
      </c>
      <c r="Z275" s="36"/>
    </row>
    <row r="276" spans="4:26" ht="15.75">
      <c r="D276" s="84">
        <f t="shared" si="186"/>
        <v>0.81030341887199442</v>
      </c>
      <c r="E276" s="84">
        <f t="shared" si="187"/>
        <v>-9.1352328692406407E-2</v>
      </c>
      <c r="F276" s="84">
        <f t="shared" si="188"/>
        <v>-2.3867392718254838</v>
      </c>
      <c r="G276" s="83">
        <f t="shared" si="189"/>
        <v>6.2543797904348651E-3</v>
      </c>
      <c r="H276" s="84">
        <f t="shared" si="190"/>
        <v>-0.18292352159490449</v>
      </c>
      <c r="I276" s="84">
        <f t="shared" si="191"/>
        <v>1.1614733247380169</v>
      </c>
      <c r="J276" s="83">
        <f t="shared" si="192"/>
        <v>0.47424772487721328</v>
      </c>
      <c r="K276" s="83">
        <v>3.0419900635401232E-4</v>
      </c>
      <c r="L276" s="85">
        <f t="shared" si="193"/>
        <v>84514147535076.906</v>
      </c>
      <c r="M276" s="83">
        <f t="shared" si="194"/>
        <v>1737624269995396.2</v>
      </c>
      <c r="N276" s="84">
        <f t="shared" si="195"/>
        <v>7.9239302694136295</v>
      </c>
      <c r="O276" s="81">
        <v>1262</v>
      </c>
      <c r="P276" s="86"/>
      <c r="Q276" s="83">
        <f t="shared" si="196"/>
        <v>425650896709.19678</v>
      </c>
      <c r="R276" s="53">
        <v>450575759424.74725</v>
      </c>
      <c r="S276" s="90">
        <f t="shared" si="197"/>
        <v>3.0600597263092232E-3</v>
      </c>
      <c r="U276" s="75">
        <v>1279</v>
      </c>
      <c r="V276" s="76">
        <v>67.400000000000006</v>
      </c>
      <c r="W276" s="77">
        <v>1700000000000000</v>
      </c>
      <c r="X276" s="77">
        <f t="shared" si="198"/>
        <v>6.4223792004330428E-4</v>
      </c>
      <c r="Y276" s="77">
        <f t="shared" si="199"/>
        <v>1091804464073.6173</v>
      </c>
      <c r="Z276" s="36"/>
    </row>
    <row r="277" spans="4:26" ht="15.75">
      <c r="D277" s="84">
        <f t="shared" si="186"/>
        <v>0.82505371120252347</v>
      </c>
      <c r="E277" s="84">
        <f t="shared" si="187"/>
        <v>-8.3517777850588781E-2</v>
      </c>
      <c r="F277" s="84">
        <f t="shared" si="188"/>
        <v>-2.5849459451143679</v>
      </c>
      <c r="G277" s="83">
        <f t="shared" si="189"/>
        <v>3.9625757413174808E-3</v>
      </c>
      <c r="H277" s="84">
        <f t="shared" si="190"/>
        <v>-0.18292352159490449</v>
      </c>
      <c r="I277" s="84">
        <f t="shared" si="191"/>
        <v>1.1614733247380169</v>
      </c>
      <c r="J277" s="83">
        <f t="shared" si="192"/>
        <v>0.47424772487721328</v>
      </c>
      <c r="K277" s="83">
        <v>1.7292754325169528E-4</v>
      </c>
      <c r="L277" s="85">
        <f t="shared" si="193"/>
        <v>81833767126844.406</v>
      </c>
      <c r="M277" s="83">
        <f t="shared" si="194"/>
        <v>1875192894896334.5</v>
      </c>
      <c r="N277" s="84">
        <f t="shared" si="195"/>
        <v>8.4459459459459456</v>
      </c>
      <c r="O277" s="81">
        <v>1184</v>
      </c>
      <c r="P277" s="86"/>
      <c r="Q277" s="83">
        <f t="shared" si="196"/>
        <v>266486257945.71609</v>
      </c>
      <c r="R277" s="53">
        <v>281797888476.36108</v>
      </c>
      <c r="S277" s="90">
        <f t="shared" si="197"/>
        <v>2.9523470852288545E-3</v>
      </c>
      <c r="U277" s="75">
        <v>1290</v>
      </c>
      <c r="V277" s="76">
        <v>70.099999999999994</v>
      </c>
      <c r="W277" s="77">
        <v>1700000000000000</v>
      </c>
      <c r="X277" s="77">
        <f t="shared" si="198"/>
        <v>6.6226972156799117E-4</v>
      </c>
      <c r="Y277" s="77">
        <f t="shared" si="199"/>
        <v>1125858526665.585</v>
      </c>
      <c r="Z277" s="36"/>
    </row>
    <row r="278" spans="4:26" ht="15.75">
      <c r="D278" s="84">
        <f t="shared" si="186"/>
        <v>0.82569222553775701</v>
      </c>
      <c r="E278" s="84">
        <f t="shared" si="187"/>
        <v>-8.3181804567158665E-2</v>
      </c>
      <c r="F278" s="84">
        <f t="shared" si="188"/>
        <v>-2.5941660426443733</v>
      </c>
      <c r="G278" s="83">
        <f t="shared" si="189"/>
        <v>3.8793367349433091E-3</v>
      </c>
      <c r="H278" s="84">
        <f t="shared" si="190"/>
        <v>-0.18292352159490449</v>
      </c>
      <c r="I278" s="84">
        <f t="shared" si="191"/>
        <v>1.1614733247380169</v>
      </c>
      <c r="J278" s="83">
        <f t="shared" si="192"/>
        <v>0.47424772487721328</v>
      </c>
      <c r="K278" s="83">
        <v>1.722114871719781E-4</v>
      </c>
      <c r="L278" s="85">
        <f t="shared" si="193"/>
        <v>82249474377791.234</v>
      </c>
      <c r="M278" s="83">
        <f t="shared" si="194"/>
        <v>1852799790671937.2</v>
      </c>
      <c r="N278" s="84">
        <f t="shared" si="195"/>
        <v>8.3612040133779271</v>
      </c>
      <c r="O278" s="81">
        <v>1196</v>
      </c>
      <c r="P278" s="86"/>
      <c r="Q278" s="83">
        <f t="shared" si="196"/>
        <v>262438345139.47659</v>
      </c>
      <c r="R278" s="53">
        <v>277598309549.3382</v>
      </c>
      <c r="S278" s="90">
        <f t="shared" si="197"/>
        <v>2.9823782895137831E-3</v>
      </c>
      <c r="U278" s="75">
        <v>1291</v>
      </c>
      <c r="V278" s="76">
        <v>68.3</v>
      </c>
      <c r="W278" s="77">
        <v>1700000000000000</v>
      </c>
      <c r="X278" s="77">
        <f t="shared" si="198"/>
        <v>6.4476440492989434E-4</v>
      </c>
      <c r="Y278" s="77">
        <f t="shared" si="199"/>
        <v>1096099488380.8204</v>
      </c>
      <c r="Z278" s="36"/>
    </row>
    <row r="279" spans="4:26" ht="15.75">
      <c r="D279" s="84">
        <f t="shared" si="186"/>
        <v>0.82676086704576901</v>
      </c>
      <c r="E279" s="84">
        <f t="shared" si="187"/>
        <v>-8.2620087957053487E-2</v>
      </c>
      <c r="F279" s="84">
        <f t="shared" si="188"/>
        <v>-2.6097275152441379</v>
      </c>
      <c r="G279" s="83">
        <f t="shared" si="189"/>
        <v>3.7427947045681931E-3</v>
      </c>
      <c r="H279" s="84">
        <f t="shared" si="190"/>
        <v>-0.18292352159490449</v>
      </c>
      <c r="I279" s="84">
        <f t="shared" si="191"/>
        <v>1.1614733247380169</v>
      </c>
      <c r="J279" s="83">
        <f t="shared" si="192"/>
        <v>0.47424772487721328</v>
      </c>
      <c r="K279" s="83">
        <v>1.699380681994107E-4</v>
      </c>
      <c r="L279" s="85">
        <f t="shared" si="193"/>
        <v>82801839163799.094</v>
      </c>
      <c r="M279" s="83">
        <f t="shared" si="194"/>
        <v>1823666047486875.7</v>
      </c>
      <c r="N279" s="84">
        <f t="shared" si="195"/>
        <v>8.2508250825082516</v>
      </c>
      <c r="O279" s="81">
        <v>1212</v>
      </c>
      <c r="P279" s="86"/>
      <c r="Q279" s="83">
        <f t="shared" si="196"/>
        <v>255266286751.34808</v>
      </c>
      <c r="R279" s="53">
        <v>258835101844.46097</v>
      </c>
      <c r="S279" s="90">
        <f t="shared" si="197"/>
        <v>1.901085933681017E-4</v>
      </c>
      <c r="U279" s="75">
        <v>1315</v>
      </c>
      <c r="V279" s="76">
        <v>70.099999999999994</v>
      </c>
      <c r="W279" s="77">
        <v>1800000000000000</v>
      </c>
      <c r="X279" s="77">
        <f t="shared" si="198"/>
        <v>6.4967904245072892E-4</v>
      </c>
      <c r="Y279" s="77">
        <f t="shared" si="199"/>
        <v>1169422276411.312</v>
      </c>
      <c r="Z279" s="36"/>
    </row>
    <row r="280" spans="4:26" ht="15.75">
      <c r="D280" s="84">
        <f t="shared" si="186"/>
        <v>0.82481428490917719</v>
      </c>
      <c r="E280" s="84">
        <f t="shared" si="187"/>
        <v>-8.3643826139297703E-2</v>
      </c>
      <c r="F280" s="84">
        <f t="shared" si="188"/>
        <v>-2.5815034989754473</v>
      </c>
      <c r="G280" s="83">
        <f t="shared" si="189"/>
        <v>3.9941100111250639E-3</v>
      </c>
      <c r="H280" s="84">
        <f t="shared" si="190"/>
        <v>-0.18292352159490449</v>
      </c>
      <c r="I280" s="84">
        <f t="shared" si="191"/>
        <v>1.1614733247380169</v>
      </c>
      <c r="J280" s="83">
        <f t="shared" si="192"/>
        <v>0.47424772487721328</v>
      </c>
      <c r="K280" s="83">
        <v>1.7730650158535023E-4</v>
      </c>
      <c r="L280" s="85">
        <f t="shared" si="193"/>
        <v>82249474377791.234</v>
      </c>
      <c r="M280" s="83">
        <f t="shared" si="194"/>
        <v>1852799790671937.2</v>
      </c>
      <c r="N280" s="84">
        <f t="shared" si="195"/>
        <v>8.3612040133779271</v>
      </c>
      <c r="O280" s="81">
        <v>1196</v>
      </c>
      <c r="P280" s="86"/>
      <c r="Q280" s="83">
        <f t="shared" si="196"/>
        <v>269884636609.28943</v>
      </c>
      <c r="R280" s="53">
        <v>276105387645.50293</v>
      </c>
      <c r="S280" s="90">
        <f t="shared" si="197"/>
        <v>5.076166736806189E-4</v>
      </c>
      <c r="U280" s="75">
        <v>1327</v>
      </c>
      <c r="V280" s="76">
        <v>68.2</v>
      </c>
      <c r="W280" s="77">
        <v>2000000000000000</v>
      </c>
      <c r="X280" s="77">
        <f t="shared" si="198"/>
        <v>6.2635427228094581E-4</v>
      </c>
      <c r="Y280" s="77">
        <f t="shared" si="199"/>
        <v>1252708544561.8916</v>
      </c>
      <c r="Z280" s="36"/>
    </row>
    <row r="281" spans="4:26" ht="15.75">
      <c r="D281" s="84">
        <f t="shared" si="186"/>
        <v>0.82772112607445369</v>
      </c>
      <c r="E281" s="84">
        <f t="shared" si="187"/>
        <v>-8.2115960083897363E-2</v>
      </c>
      <c r="F281" s="84">
        <f t="shared" si="188"/>
        <v>-2.623852164160021</v>
      </c>
      <c r="G281" s="83">
        <f t="shared" si="189"/>
        <v>3.6230252220970796E-3</v>
      </c>
      <c r="H281" s="84">
        <f t="shared" si="190"/>
        <v>-0.18292352159490449</v>
      </c>
      <c r="I281" s="84">
        <f t="shared" si="191"/>
        <v>1.1614733247380169</v>
      </c>
      <c r="J281" s="83">
        <f t="shared" si="192"/>
        <v>0.47424772487721328</v>
      </c>
      <c r="K281" s="83">
        <v>1.6727631634804512E-4</v>
      </c>
      <c r="L281" s="85">
        <f t="shared" si="193"/>
        <v>83214692143994.562</v>
      </c>
      <c r="M281" s="83">
        <f t="shared" si="194"/>
        <v>1802340791983009</v>
      </c>
      <c r="N281" s="84">
        <f t="shared" si="195"/>
        <v>8.1699346405228752</v>
      </c>
      <c r="O281" s="81">
        <v>1224</v>
      </c>
      <c r="P281" s="86"/>
      <c r="Q281" s="83">
        <f t="shared" si="196"/>
        <v>248647897780.93976</v>
      </c>
      <c r="R281" s="53">
        <v>253387968953.28436</v>
      </c>
      <c r="S281" s="90">
        <f t="shared" si="197"/>
        <v>3.4994334960697804E-4</v>
      </c>
      <c r="U281" s="75">
        <v>1344</v>
      </c>
      <c r="V281" s="76">
        <v>65.8</v>
      </c>
      <c r="W281" s="77">
        <v>2000000000000000</v>
      </c>
      <c r="X281" s="77">
        <f t="shared" si="198"/>
        <v>5.9666864625932162E-4</v>
      </c>
      <c r="Y281" s="77">
        <f t="shared" si="199"/>
        <v>1193337292518.6433</v>
      </c>
      <c r="Z281" s="36"/>
    </row>
    <row r="282" spans="4:26" ht="15.75">
      <c r="D282" s="84">
        <f t="shared" si="186"/>
        <v>0.82654357255973088</v>
      </c>
      <c r="E282" s="84">
        <f t="shared" si="187"/>
        <v>-8.2734246964332528E-2</v>
      </c>
      <c r="F282" s="84">
        <f t="shared" si="188"/>
        <v>-2.6065499540286781</v>
      </c>
      <c r="G282" s="83">
        <f t="shared" si="189"/>
        <v>3.7702796810899827E-3</v>
      </c>
      <c r="H282" s="84">
        <f t="shared" si="190"/>
        <v>-0.18292352159490449</v>
      </c>
      <c r="I282" s="84">
        <f t="shared" si="191"/>
        <v>1.1614733247380169</v>
      </c>
      <c r="J282" s="83">
        <f t="shared" si="192"/>
        <v>0.47424772487721328</v>
      </c>
      <c r="K282" s="83">
        <v>1.7166589254781145E-4</v>
      </c>
      <c r="L282" s="85">
        <f t="shared" si="193"/>
        <v>82870732205251.031</v>
      </c>
      <c r="M282" s="83">
        <f t="shared" si="194"/>
        <v>1820081049026593.7</v>
      </c>
      <c r="N282" s="84">
        <f t="shared" si="195"/>
        <v>8.2372322899505761</v>
      </c>
      <c r="O282" s="81">
        <v>1214</v>
      </c>
      <c r="P282" s="86"/>
      <c r="Q282" s="83">
        <f t="shared" si="196"/>
        <v>257280081136.52573</v>
      </c>
      <c r="R282" s="53">
        <v>262943053463.22208</v>
      </c>
      <c r="S282" s="90">
        <f t="shared" si="197"/>
        <v>4.6383709159538615E-4</v>
      </c>
      <c r="U282" s="75">
        <v>1316</v>
      </c>
      <c r="V282" s="76">
        <v>118.9</v>
      </c>
      <c r="W282" s="77">
        <v>1500000000000000</v>
      </c>
      <c r="X282" s="77">
        <f t="shared" si="198"/>
        <v>1.101114692469508E-3</v>
      </c>
      <c r="Y282" s="77">
        <f t="shared" si="199"/>
        <v>1651672038704.262</v>
      </c>
      <c r="Z282" s="36"/>
    </row>
    <row r="283" spans="4:26" ht="15.75">
      <c r="D283" s="84">
        <f t="shared" si="186"/>
        <v>0.81111880445097129</v>
      </c>
      <c r="E283" s="84">
        <f t="shared" si="187"/>
        <v>-9.0915530081495013E-2</v>
      </c>
      <c r="F283" s="84">
        <f t="shared" si="188"/>
        <v>-2.3970140196393968</v>
      </c>
      <c r="G283" s="83">
        <f t="shared" si="189"/>
        <v>6.1081473040678347E-3</v>
      </c>
      <c r="H283" s="84">
        <f t="shared" si="190"/>
        <v>-0.18292352159490449</v>
      </c>
      <c r="I283" s="84">
        <f t="shared" si="191"/>
        <v>1.1614733247380169</v>
      </c>
      <c r="J283" s="83">
        <f t="shared" si="192"/>
        <v>0.47424772487721328</v>
      </c>
      <c r="K283" s="83">
        <v>2.8436973779167663E-4</v>
      </c>
      <c r="L283" s="85">
        <f t="shared" si="193"/>
        <v>83420665560261.797</v>
      </c>
      <c r="M283" s="83">
        <f t="shared" si="194"/>
        <v>1791842259315019.7</v>
      </c>
      <c r="N283" s="84">
        <f t="shared" si="195"/>
        <v>8.1300813008130088</v>
      </c>
      <c r="O283" s="81">
        <v>1230</v>
      </c>
      <c r="P283" s="86"/>
      <c r="Q283" s="83">
        <f t="shared" si="196"/>
        <v>410792926198.30847</v>
      </c>
      <c r="R283" s="53">
        <v>432018854220.50629</v>
      </c>
      <c r="S283" s="90">
        <f t="shared" si="197"/>
        <v>2.413948346485732E-3</v>
      </c>
      <c r="U283" s="75">
        <v>1332</v>
      </c>
      <c r="V283" s="76">
        <v>113.9</v>
      </c>
      <c r="W283" s="77">
        <v>1500000000000000</v>
      </c>
      <c r="X283" s="77">
        <f t="shared" si="198"/>
        <v>1.0421400622416981E-3</v>
      </c>
      <c r="Y283" s="77">
        <f t="shared" si="199"/>
        <v>1563210093362.5471</v>
      </c>
      <c r="Z283" s="36"/>
    </row>
    <row r="284" spans="4:26" ht="15.75">
      <c r="D284" s="95">
        <f t="shared" si="186"/>
        <v>0.85139382203282576</v>
      </c>
      <c r="E284" s="95">
        <f t="shared" si="187"/>
        <v>-6.9869505517571179E-2</v>
      </c>
      <c r="F284" s="95">
        <f t="shared" si="188"/>
        <v>-3.0219284582064803</v>
      </c>
      <c r="G284" s="96">
        <f t="shared" si="189"/>
        <v>1.4487553854947333E-3</v>
      </c>
      <c r="H284" s="95">
        <f t="shared" si="190"/>
        <v>-0.18292352159490449</v>
      </c>
      <c r="I284" s="95">
        <f t="shared" si="191"/>
        <v>1.1614733247380169</v>
      </c>
      <c r="J284" s="96">
        <f t="shared" si="192"/>
        <v>0.47424772487721328</v>
      </c>
      <c r="K284" s="96">
        <v>1.1674961576933085E-4</v>
      </c>
      <c r="L284" s="97">
        <f t="shared" si="193"/>
        <v>98373320018072.609</v>
      </c>
      <c r="M284" s="96">
        <f t="shared" si="194"/>
        <v>1220722451427699.2</v>
      </c>
      <c r="N284" s="95">
        <f t="shared" si="195"/>
        <v>5.9206631142687982</v>
      </c>
      <c r="O284">
        <v>1689</v>
      </c>
      <c r="P284" s="99"/>
      <c r="Q284" s="96">
        <f t="shared" si="196"/>
        <v>121164154320.38843</v>
      </c>
      <c r="R284" s="103">
        <v>108287538882.438</v>
      </c>
      <c r="S284" s="90">
        <f t="shared" si="197"/>
        <v>1.4139904769165285E-2</v>
      </c>
      <c r="U284" s="75">
        <v>1376</v>
      </c>
      <c r="V284" s="76">
        <v>112</v>
      </c>
      <c r="W284" s="77">
        <v>1500000000000000</v>
      </c>
      <c r="X284" s="77">
        <f t="shared" si="198"/>
        <v>9.9198745741282566E-4</v>
      </c>
      <c r="Y284" s="77">
        <f t="shared" si="199"/>
        <v>1487981186119.2385</v>
      </c>
      <c r="Z284" s="36"/>
    </row>
    <row r="285" spans="4:26" ht="15.75">
      <c r="D285" s="95">
        <f t="shared" si="186"/>
        <v>0.85348926076779619</v>
      </c>
      <c r="E285" s="95">
        <f t="shared" si="187"/>
        <v>-6.8801939128777481E-2</v>
      </c>
      <c r="F285" s="95">
        <f t="shared" si="188"/>
        <v>-3.0626534679258772</v>
      </c>
      <c r="G285" s="96">
        <f t="shared" si="189"/>
        <v>1.3190767139210709E-3</v>
      </c>
      <c r="H285" s="95">
        <f t="shared" si="190"/>
        <v>-0.18292352159490449</v>
      </c>
      <c r="I285" s="95">
        <f t="shared" si="191"/>
        <v>1.1614733247380169</v>
      </c>
      <c r="J285" s="96">
        <f t="shared" si="192"/>
        <v>0.47424772487721328</v>
      </c>
      <c r="K285" s="96">
        <v>1.1133011978794263E-4</v>
      </c>
      <c r="L285" s="97">
        <f t="shared" si="193"/>
        <v>99763120921618.312</v>
      </c>
      <c r="M285" s="96">
        <f t="shared" si="194"/>
        <v>1182027019879761.7</v>
      </c>
      <c r="N285" s="95">
        <f t="shared" si="195"/>
        <v>5.7670126874279122</v>
      </c>
      <c r="O285">
        <v>1734</v>
      </c>
      <c r="P285" s="99"/>
      <c r="Q285" s="96">
        <f t="shared" si="196"/>
        <v>112167141196.90024</v>
      </c>
      <c r="R285" s="6">
        <v>102442636956.61859</v>
      </c>
      <c r="S285" s="90">
        <f t="shared" si="197"/>
        <v>9.011009384644374E-3</v>
      </c>
      <c r="U285" s="33"/>
      <c r="W285" s="6" t="s">
        <v>61</v>
      </c>
      <c r="Z285" s="36"/>
    </row>
    <row r="286" spans="4:26" ht="15.75">
      <c r="D286" s="95">
        <f t="shared" si="186"/>
        <v>0.85666224696521553</v>
      </c>
      <c r="E286" s="95">
        <f t="shared" si="187"/>
        <v>-6.7190371999539047E-2</v>
      </c>
      <c r="F286" s="95">
        <f t="shared" si="188"/>
        <v>-3.1263761350641914</v>
      </c>
      <c r="G286" s="96">
        <f t="shared" si="189"/>
        <v>1.139062059887352E-3</v>
      </c>
      <c r="H286" s="95">
        <f t="shared" si="190"/>
        <v>-0.18292352159490449</v>
      </c>
      <c r="I286" s="95">
        <f t="shared" si="191"/>
        <v>1.1614733247380169</v>
      </c>
      <c r="J286" s="96">
        <f t="shared" si="192"/>
        <v>0.47424772487721328</v>
      </c>
      <c r="K286" s="96">
        <v>1.0087671073658565E-4</v>
      </c>
      <c r="L286" s="97">
        <f t="shared" si="193"/>
        <v>101232337672092.95</v>
      </c>
      <c r="M286" s="96">
        <f t="shared" si="194"/>
        <v>1143077666133358</v>
      </c>
      <c r="N286" s="95">
        <f t="shared" si="195"/>
        <v>5.6116722783389452</v>
      </c>
      <c r="O286">
        <v>1782</v>
      </c>
      <c r="P286" s="99"/>
      <c r="Q286" s="96">
        <f t="shared" si="196"/>
        <v>98669260535.209686</v>
      </c>
      <c r="R286" s="6">
        <v>91322990032.085144</v>
      </c>
      <c r="S286" s="90">
        <f t="shared" si="197"/>
        <v>6.4710325864331345E-3</v>
      </c>
      <c r="U286" s="33"/>
      <c r="V286" t="s">
        <v>59</v>
      </c>
      <c r="W286" s="6" t="s">
        <v>60</v>
      </c>
      <c r="Y286" t="s">
        <v>16</v>
      </c>
      <c r="Z286" t="s">
        <v>65</v>
      </c>
    </row>
    <row r="287" spans="4:26" ht="15.75">
      <c r="D287" s="95">
        <f t="shared" si="186"/>
        <v>0.85140279244902128</v>
      </c>
      <c r="E287" s="95">
        <f t="shared" si="187"/>
        <v>-6.9864929748250315E-2</v>
      </c>
      <c r="F287" s="95">
        <f t="shared" si="188"/>
        <v>-3.0221005822963467</v>
      </c>
      <c r="G287" s="96">
        <f t="shared" si="189"/>
        <v>1.448181313514812E-3</v>
      </c>
      <c r="H287" s="95">
        <f t="shared" si="190"/>
        <v>-0.18292352159490449</v>
      </c>
      <c r="I287" s="95">
        <f t="shared" si="191"/>
        <v>1.1614733247380169</v>
      </c>
      <c r="J287" s="96">
        <f t="shared" si="192"/>
        <v>0.47424772487721328</v>
      </c>
      <c r="K287" s="96">
        <v>1.1682476125676659E-4</v>
      </c>
      <c r="L287" s="97">
        <f t="shared" si="193"/>
        <v>98404337528257.094</v>
      </c>
      <c r="M287" s="96">
        <f t="shared" si="194"/>
        <v>1219838339442548</v>
      </c>
      <c r="N287" s="95">
        <f t="shared" si="195"/>
        <v>5.9171597633136095</v>
      </c>
      <c r="O287">
        <v>1690</v>
      </c>
      <c r="P287" s="99"/>
      <c r="Q287" s="96">
        <f t="shared" si="196"/>
        <v>121155677169.26169</v>
      </c>
      <c r="R287" s="6">
        <v>111321806844.3838</v>
      </c>
      <c r="S287" s="90">
        <f t="shared" si="197"/>
        <v>7.8034825026388598E-3</v>
      </c>
      <c r="U287" s="81">
        <v>1249</v>
      </c>
      <c r="V287" s="82">
        <v>32.5</v>
      </c>
      <c r="W287" s="53">
        <v>1710000000000000</v>
      </c>
      <c r="X287" s="83">
        <f t="shared" ref="X287:BD297" si="200">V287*101325/8.314/U287/1000000</f>
        <v>3.1712283466417109E-4</v>
      </c>
      <c r="Y287" s="83">
        <f t="shared" ref="Y287:BE297" si="201">W287*X287</f>
        <v>542280047275.73254</v>
      </c>
      <c r="Z287" s="57">
        <v>488341145704.54272</v>
      </c>
    </row>
    <row r="288" spans="4:26" ht="15.75">
      <c r="D288" s="95">
        <f t="shared" si="186"/>
        <v>0.86873403748673572</v>
      </c>
      <c r="E288" s="95">
        <f t="shared" si="187"/>
        <v>-6.1113162252324604E-2</v>
      </c>
      <c r="F288" s="95">
        <f t="shared" si="188"/>
        <v>-3.3945754798885539</v>
      </c>
      <c r="G288" s="96">
        <f t="shared" si="189"/>
        <v>6.1425406850504013E-4</v>
      </c>
      <c r="H288" s="95">
        <f t="shared" si="190"/>
        <v>-0.18292352159490449</v>
      </c>
      <c r="I288" s="95">
        <f t="shared" si="191"/>
        <v>1.1614733247380169</v>
      </c>
      <c r="J288" s="96">
        <f t="shared" si="192"/>
        <v>0.47424772487721328</v>
      </c>
      <c r="K288" s="96">
        <v>6.9929904206790443E-5</v>
      </c>
      <c r="L288" s="97">
        <f t="shared" si="193"/>
        <v>109289270280617.23</v>
      </c>
      <c r="M288" s="96">
        <f t="shared" si="194"/>
        <v>959980993471708.62</v>
      </c>
      <c r="N288" s="95">
        <f t="shared" si="195"/>
        <v>4.8709206039941551</v>
      </c>
      <c r="O288">
        <v>2053</v>
      </c>
      <c r="P288" s="99"/>
      <c r="Q288" s="96">
        <f t="shared" si="196"/>
        <v>58283512960.888397</v>
      </c>
      <c r="R288" s="6">
        <v>52960191738.404243</v>
      </c>
      <c r="S288" s="90">
        <f t="shared" si="197"/>
        <v>1.0103369801102074E-2</v>
      </c>
      <c r="U288" s="81">
        <v>1240</v>
      </c>
      <c r="V288" s="82">
        <v>32.4</v>
      </c>
      <c r="W288" s="53">
        <v>1720000000000000</v>
      </c>
      <c r="X288" s="83">
        <f t="shared" si="200"/>
        <v>3.1844168794183152E-4</v>
      </c>
      <c r="Y288" s="83">
        <f t="shared" si="201"/>
        <v>547719703259.9502</v>
      </c>
      <c r="Z288" s="57">
        <v>493041465837.65759</v>
      </c>
    </row>
    <row r="289" spans="1:58" ht="15.75">
      <c r="D289" s="95">
        <f t="shared" si="186"/>
        <v>0.86076242834655292</v>
      </c>
      <c r="E289" s="95">
        <f t="shared" si="187"/>
        <v>-6.5116697901987833E-2</v>
      </c>
      <c r="F289" s="95">
        <f t="shared" si="188"/>
        <v>-3.2126439742568413</v>
      </c>
      <c r="G289" s="96">
        <f t="shared" si="189"/>
        <v>9.3385521273360009E-4</v>
      </c>
      <c r="H289" s="95">
        <f t="shared" si="190"/>
        <v>-0.18292352159490449</v>
      </c>
      <c r="I289" s="95">
        <f t="shared" si="191"/>
        <v>1.1614733247380169</v>
      </c>
      <c r="J289" s="96">
        <f t="shared" si="192"/>
        <v>0.47424772487721328</v>
      </c>
      <c r="K289" s="96">
        <v>8.575982039739561E-5</v>
      </c>
      <c r="L289" s="97">
        <f t="shared" si="193"/>
        <v>102355784230524.48</v>
      </c>
      <c r="M289" s="96">
        <f t="shared" si="194"/>
        <v>1114571861440298.6</v>
      </c>
      <c r="N289" s="95">
        <f t="shared" si="195"/>
        <v>5.4975261132490383</v>
      </c>
      <c r="O289">
        <v>1819</v>
      </c>
      <c r="P289" s="99"/>
      <c r="Q289" s="96">
        <f t="shared" si="196"/>
        <v>82199629614.012283</v>
      </c>
      <c r="R289" s="6">
        <v>76446104762.909714</v>
      </c>
      <c r="S289" s="90">
        <f t="shared" si="197"/>
        <v>5.6644436923815288E-3</v>
      </c>
      <c r="U289" s="81">
        <v>1255</v>
      </c>
      <c r="V289" s="82">
        <v>31</v>
      </c>
      <c r="W289" s="53">
        <v>1690000000000000</v>
      </c>
      <c r="X289" s="83">
        <f t="shared" si="200"/>
        <v>3.0104024604013583E-4</v>
      </c>
      <c r="Y289" s="83">
        <f t="shared" si="201"/>
        <v>508758015807.82953</v>
      </c>
      <c r="Z289" s="57">
        <v>459173604316.15625</v>
      </c>
    </row>
    <row r="290" spans="1:58" ht="15.75">
      <c r="D290" s="95">
        <f t="shared" si="186"/>
        <v>0.86241271276391385</v>
      </c>
      <c r="E290" s="95">
        <f t="shared" si="187"/>
        <v>-6.4284850206357422E-2</v>
      </c>
      <c r="F290" s="95">
        <f t="shared" si="188"/>
        <v>-3.2486996103460748</v>
      </c>
      <c r="G290" s="96">
        <f t="shared" si="189"/>
        <v>8.5945652133716797E-4</v>
      </c>
      <c r="H290" s="95">
        <f t="shared" si="190"/>
        <v>-0.18292352159490449</v>
      </c>
      <c r="I290" s="95">
        <f t="shared" si="191"/>
        <v>1.1614733247380169</v>
      </c>
      <c r="J290" s="96">
        <f t="shared" si="192"/>
        <v>0.47424772487721328</v>
      </c>
      <c r="K290" s="96">
        <v>8.1555425532729714E-5</v>
      </c>
      <c r="L290" s="97">
        <f t="shared" si="193"/>
        <v>103381344990498</v>
      </c>
      <c r="M290" s="96">
        <f t="shared" si="194"/>
        <v>1089464870746498.6</v>
      </c>
      <c r="N290" s="95">
        <f t="shared" si="195"/>
        <v>5.3966540744738261</v>
      </c>
      <c r="O290">
        <v>1853</v>
      </c>
      <c r="P290" s="99"/>
      <c r="Q290" s="96">
        <f t="shared" si="196"/>
        <v>76561096046.594193</v>
      </c>
      <c r="R290" s="6">
        <v>71379593901.476212</v>
      </c>
      <c r="S290" s="90">
        <f t="shared" si="197"/>
        <v>5.2694248957738474E-3</v>
      </c>
      <c r="U290" s="81">
        <v>1262</v>
      </c>
      <c r="V290" s="82">
        <v>31.5</v>
      </c>
      <c r="W290" s="53">
        <v>1640000000000000</v>
      </c>
      <c r="X290" s="83">
        <f t="shared" si="200"/>
        <v>3.0419900635401232E-4</v>
      </c>
      <c r="Y290" s="83">
        <f t="shared" si="201"/>
        <v>498886370420.5802</v>
      </c>
      <c r="Z290" s="57">
        <v>450575759424.74725</v>
      </c>
    </row>
    <row r="291" spans="1:58" ht="15.75">
      <c r="D291" s="95">
        <f t="shared" si="186"/>
        <v>0.85748061056964153</v>
      </c>
      <c r="E291" s="95">
        <f t="shared" si="187"/>
        <v>-6.6775691480896002E-2</v>
      </c>
      <c r="F291" s="95">
        <f t="shared" si="188"/>
        <v>-3.1432307371998012</v>
      </c>
      <c r="G291" s="96">
        <f t="shared" si="189"/>
        <v>1.0957028326274412E-3</v>
      </c>
      <c r="H291" s="95">
        <f t="shared" si="190"/>
        <v>-0.18292352159490449</v>
      </c>
      <c r="I291" s="95">
        <f t="shared" si="191"/>
        <v>1.1614733247380169</v>
      </c>
      <c r="J291" s="96">
        <f t="shared" si="192"/>
        <v>0.47424772487721328</v>
      </c>
      <c r="K291" s="96">
        <v>9.1634173892125387E-5</v>
      </c>
      <c r="L291" s="97">
        <f t="shared" si="193"/>
        <v>99486133148339.266</v>
      </c>
      <c r="M291" s="96">
        <f t="shared" si="194"/>
        <v>1189591538481187.5</v>
      </c>
      <c r="N291" s="95">
        <f t="shared" si="195"/>
        <v>5.7971014492753623</v>
      </c>
      <c r="O291">
        <v>1725</v>
      </c>
      <c r="P291" s="99"/>
      <c r="Q291" s="96">
        <f t="shared" si="196"/>
        <v>93369287915.854004</v>
      </c>
      <c r="R291" s="6">
        <v>87806705927.202377</v>
      </c>
      <c r="S291" s="90">
        <f t="shared" si="197"/>
        <v>4.0132617021846955E-3</v>
      </c>
      <c r="U291" s="81">
        <v>1184</v>
      </c>
      <c r="V291" s="82">
        <v>16.8</v>
      </c>
      <c r="W291" s="53">
        <v>1780000000000000</v>
      </c>
      <c r="X291" s="83">
        <f t="shared" si="200"/>
        <v>1.7292754325169528E-4</v>
      </c>
      <c r="Y291" s="83">
        <f t="shared" si="201"/>
        <v>307811026988.01758</v>
      </c>
      <c r="Z291" s="57">
        <v>281797888476.36108</v>
      </c>
    </row>
    <row r="292" spans="1:58" ht="15.75">
      <c r="D292" s="95">
        <f t="shared" si="186"/>
        <v>0.85502411366481346</v>
      </c>
      <c r="E292" s="95">
        <f t="shared" si="187"/>
        <v>-6.8021636986573375E-2</v>
      </c>
      <c r="F292" s="95">
        <f t="shared" si="188"/>
        <v>-3.0931605024771192</v>
      </c>
      <c r="G292" s="96">
        <f t="shared" si="189"/>
        <v>1.2295976348427001E-3</v>
      </c>
      <c r="H292" s="95">
        <f t="shared" si="190"/>
        <v>-0.18292352159490449</v>
      </c>
      <c r="I292" s="95">
        <f t="shared" si="191"/>
        <v>1.1614733247380169</v>
      </c>
      <c r="J292" s="96">
        <f t="shared" si="192"/>
        <v>0.47424772487721328</v>
      </c>
      <c r="K292" s="96">
        <v>9.8985505377214485E-5</v>
      </c>
      <c r="L292" s="97">
        <f t="shared" si="193"/>
        <v>98342296400668.141</v>
      </c>
      <c r="M292" s="96">
        <f t="shared" si="194"/>
        <v>1221607694969614.2</v>
      </c>
      <c r="N292" s="95">
        <f t="shared" si="195"/>
        <v>5.9241706161137442</v>
      </c>
      <c r="O292">
        <v>1688</v>
      </c>
      <c r="P292" s="99"/>
      <c r="Q292" s="96">
        <f t="shared" si="196"/>
        <v>103263787026.81145</v>
      </c>
      <c r="R292" s="6">
        <v>87941523065.299316</v>
      </c>
      <c r="S292" s="90">
        <f t="shared" si="197"/>
        <v>3.035693451228378E-2</v>
      </c>
      <c r="U292" s="81">
        <v>1196</v>
      </c>
      <c r="V292" s="82">
        <v>16.899999999999999</v>
      </c>
      <c r="W292" s="53">
        <v>1760000000000000</v>
      </c>
      <c r="X292" s="83">
        <f t="shared" si="200"/>
        <v>1.722114871719781E-4</v>
      </c>
      <c r="Y292" s="83">
        <f t="shared" si="201"/>
        <v>303092217422.68146</v>
      </c>
      <c r="Z292" s="57">
        <v>277598309549.3382</v>
      </c>
    </row>
    <row r="293" spans="1:58" ht="15.75">
      <c r="D293" s="95">
        <f t="shared" si="186"/>
        <v>0.85235125701235248</v>
      </c>
      <c r="E293" s="95">
        <f t="shared" si="187"/>
        <v>-6.9381394030384194E-2</v>
      </c>
      <c r="F293" s="95">
        <f t="shared" si="188"/>
        <v>-3.0404063784758812</v>
      </c>
      <c r="G293" s="96">
        <f t="shared" si="189"/>
        <v>1.3884081141616218E-3</v>
      </c>
      <c r="H293" s="95">
        <f t="shared" si="190"/>
        <v>-0.18292352159490449</v>
      </c>
      <c r="I293" s="95">
        <f t="shared" si="191"/>
        <v>1.1614733247380169</v>
      </c>
      <c r="J293" s="96">
        <f t="shared" si="192"/>
        <v>0.47424772487721328</v>
      </c>
      <c r="K293" s="96">
        <v>1.0321027238245426E-4</v>
      </c>
      <c r="L293" s="97">
        <f t="shared" si="193"/>
        <v>95997826359285.453</v>
      </c>
      <c r="M293" s="96">
        <f t="shared" si="194"/>
        <v>1291384645950887.2</v>
      </c>
      <c r="N293" s="95">
        <f t="shared" si="195"/>
        <v>6.1996280223186613</v>
      </c>
      <c r="O293">
        <v>1613</v>
      </c>
      <c r="P293" s="99"/>
      <c r="Q293" s="96">
        <f t="shared" si="196"/>
        <v>113447410912.72768</v>
      </c>
      <c r="R293" s="6">
        <v>102111009014.30867</v>
      </c>
      <c r="S293" s="90">
        <f t="shared" si="197"/>
        <v>1.2325522330043496E-2</v>
      </c>
      <c r="U293" s="81">
        <v>1212</v>
      </c>
      <c r="V293" s="82">
        <v>16.899999999999999</v>
      </c>
      <c r="W293" s="53">
        <v>1660000000000000</v>
      </c>
      <c r="X293" s="83">
        <f t="shared" si="200"/>
        <v>1.699380681994107E-4</v>
      </c>
      <c r="Y293" s="83">
        <f t="shared" si="201"/>
        <v>282097193211.02179</v>
      </c>
      <c r="Z293" s="57">
        <v>258835101844.46097</v>
      </c>
    </row>
    <row r="294" spans="1:58" ht="15.75">
      <c r="D294" s="95">
        <f t="shared" si="186"/>
        <v>0.85100707481678151</v>
      </c>
      <c r="E294" s="95">
        <f t="shared" si="187"/>
        <v>-7.0066829408811815E-2</v>
      </c>
      <c r="F294" s="95">
        <f t="shared" si="188"/>
        <v>-3.0145253750141703</v>
      </c>
      <c r="G294" s="96">
        <f t="shared" si="189"/>
        <v>1.4736628879376329E-3</v>
      </c>
      <c r="H294" s="95">
        <f t="shared" si="190"/>
        <v>-0.18292352159490449</v>
      </c>
      <c r="I294" s="95">
        <f t="shared" si="191"/>
        <v>1.1614733247380169</v>
      </c>
      <c r="J294" s="96">
        <f t="shared" si="192"/>
        <v>0.47424772487721328</v>
      </c>
      <c r="K294" s="96">
        <v>1.0718375104819452E-4</v>
      </c>
      <c r="L294" s="97">
        <f t="shared" si="193"/>
        <v>95366610068804.516</v>
      </c>
      <c r="M294" s="96">
        <f t="shared" si="194"/>
        <v>1311189733820982.2</v>
      </c>
      <c r="N294" s="95">
        <f t="shared" si="195"/>
        <v>6.2774639045825484</v>
      </c>
      <c r="O294">
        <v>1593</v>
      </c>
      <c r="P294" s="99"/>
      <c r="Q294" s="96">
        <f t="shared" si="196"/>
        <v>119423042116.92502</v>
      </c>
      <c r="R294" s="6">
        <v>104127097986.67564</v>
      </c>
      <c r="S294" s="90">
        <f t="shared" si="197"/>
        <v>2.1578688592615101E-2</v>
      </c>
      <c r="U294" s="81">
        <v>1196</v>
      </c>
      <c r="V294" s="82">
        <v>17.399999999999999</v>
      </c>
      <c r="W294" s="53">
        <v>1700000000000000</v>
      </c>
      <c r="X294" s="83">
        <f t="shared" si="200"/>
        <v>1.7730650158535023E-4</v>
      </c>
      <c r="Y294" s="83">
        <f t="shared" si="201"/>
        <v>301421052695.0954</v>
      </c>
      <c r="Z294" s="57">
        <v>276105387645.50293</v>
      </c>
    </row>
    <row r="295" spans="1:58" ht="15.75">
      <c r="D295" s="95">
        <f t="shared" si="186"/>
        <v>0.84903644865016503</v>
      </c>
      <c r="E295" s="95">
        <f t="shared" si="187"/>
        <v>-7.1073665341606723E-2</v>
      </c>
      <c r="F295" s="95">
        <f t="shared" si="188"/>
        <v>-2.9773356671772602</v>
      </c>
      <c r="G295" s="96">
        <f t="shared" si="189"/>
        <v>1.6054169887013651E-3</v>
      </c>
      <c r="H295" s="95">
        <f t="shared" si="190"/>
        <v>-0.18292352159490449</v>
      </c>
      <c r="I295" s="95">
        <f t="shared" si="191"/>
        <v>1.1614733247380169</v>
      </c>
      <c r="J295" s="96">
        <f t="shared" si="192"/>
        <v>0.47424772487721328</v>
      </c>
      <c r="K295" s="96">
        <v>1.1257604180159508E-4</v>
      </c>
      <c r="L295" s="97">
        <f t="shared" si="193"/>
        <v>94319399844782.734</v>
      </c>
      <c r="M295" s="96">
        <f t="shared" si="194"/>
        <v>1345063873730774.7</v>
      </c>
      <c r="N295" s="95">
        <f t="shared" si="195"/>
        <v>6.4102564102564106</v>
      </c>
      <c r="O295">
        <v>1560</v>
      </c>
      <c r="P295" s="99"/>
      <c r="Q295" s="96">
        <f t="shared" si="196"/>
        <v>128356702971.55022</v>
      </c>
      <c r="R295" s="6">
        <v>120636713715.05894</v>
      </c>
      <c r="S295" s="90">
        <f t="shared" si="197"/>
        <v>4.0951932047330825E-3</v>
      </c>
      <c r="U295" s="81">
        <v>1224</v>
      </c>
      <c r="V295" s="82">
        <v>16.8</v>
      </c>
      <c r="W295" s="53">
        <v>1650000000000000</v>
      </c>
      <c r="X295" s="83">
        <f t="shared" si="200"/>
        <v>1.6727631634804512E-4</v>
      </c>
      <c r="Y295" s="83">
        <f t="shared" si="201"/>
        <v>276005921974.27448</v>
      </c>
      <c r="Z295" s="57">
        <v>253387968953.28436</v>
      </c>
    </row>
    <row r="296" spans="1:58" ht="15.75">
      <c r="D296" s="95">
        <f t="shared" si="186"/>
        <v>0.84582789320848795</v>
      </c>
      <c r="E296" s="95">
        <f t="shared" si="187"/>
        <v>-7.2717997048204794E-2</v>
      </c>
      <c r="F296" s="95">
        <f t="shared" si="188"/>
        <v>-2.9186150777981665</v>
      </c>
      <c r="G296" s="96">
        <f t="shared" si="189"/>
        <v>1.8378431493934044E-3</v>
      </c>
      <c r="H296" s="95">
        <f t="shared" si="190"/>
        <v>-0.18292352159490449</v>
      </c>
      <c r="I296" s="95">
        <f t="shared" si="191"/>
        <v>1.1614733247380169</v>
      </c>
      <c r="J296" s="96">
        <f t="shared" si="192"/>
        <v>0.47424772487721328</v>
      </c>
      <c r="K296" s="96">
        <v>1.1967169854128467E-4</v>
      </c>
      <c r="L296" s="97">
        <f t="shared" si="193"/>
        <v>92235386327127.656</v>
      </c>
      <c r="M296" s="96">
        <f t="shared" si="194"/>
        <v>1416493414560220</v>
      </c>
      <c r="N296" s="95">
        <f t="shared" si="195"/>
        <v>6.6889632107023411</v>
      </c>
      <c r="O296">
        <v>1495</v>
      </c>
      <c r="P296" s="99"/>
      <c r="Q296" s="96">
        <f t="shared" si="196"/>
        <v>143116789515.8616</v>
      </c>
      <c r="R296" s="6">
        <v>130028326870.21216</v>
      </c>
      <c r="S296" s="90">
        <f t="shared" si="197"/>
        <v>1.0132143384594608E-2</v>
      </c>
      <c r="AJ296" s="95"/>
      <c r="AK296" s="95"/>
      <c r="AL296" s="95"/>
      <c r="AM296" s="96"/>
      <c r="AN296" s="95"/>
      <c r="AO296" s="95"/>
      <c r="AP296" s="96"/>
      <c r="AQ296" s="96"/>
      <c r="AR296" s="97"/>
      <c r="AS296" s="96"/>
      <c r="AT296" s="95"/>
      <c r="AV296" s="99"/>
      <c r="AW296" s="96"/>
      <c r="AX296" s="6"/>
      <c r="AY296" s="90"/>
      <c r="BA296" s="81">
        <v>1214</v>
      </c>
      <c r="BB296" s="82">
        <v>17.100000000000001</v>
      </c>
      <c r="BC296" s="53">
        <v>1670000000000000</v>
      </c>
      <c r="BD296" s="83">
        <f t="shared" si="200"/>
        <v>1.7166589254781145E-4</v>
      </c>
      <c r="BE296" s="83">
        <f t="shared" si="201"/>
        <v>286682040554.84509</v>
      </c>
      <c r="BF296" s="57">
        <v>262943053463.22208</v>
      </c>
    </row>
    <row r="297" spans="1:58" s="24" customFormat="1" ht="15.75">
      <c r="A297"/>
      <c r="B297"/>
      <c r="C297"/>
      <c r="D297" s="59">
        <f t="shared" ref="D297" si="202">10^E297</f>
        <v>0.82823905997451508</v>
      </c>
      <c r="E297" s="59">
        <f t="shared" ref="E297" si="203">LOG(J297)/(1+(F297/(I297-0.14*F297))^2)</f>
        <v>-8.1844291907310629E-2</v>
      </c>
      <c r="F297" s="59">
        <f t="shared" ref="F297" si="204">LOG(G297)+H297</f>
        <v>-2.6315269829736421</v>
      </c>
      <c r="G297" s="58">
        <f t="shared" ref="G297" si="205">M297*K297/L297</f>
        <v>3.5595618098162641E-3</v>
      </c>
      <c r="H297" s="59">
        <f t="shared" ref="H297" si="206">-0.4-0.67*LOG(J297)</f>
        <v>-0.18292352159490449</v>
      </c>
      <c r="I297" s="59">
        <f t="shared" ref="I297" si="207">0.75-1.27*LOG(J297)</f>
        <v>1.1614733247380169</v>
      </c>
      <c r="J297" s="58">
        <f t="shared" ref="J297" si="208">(1-$B$10)*EXP(-O297/$B$11)+$B$10*EXP(-O297/$B$12)+EXP(-B$13/O297)</f>
        <v>0.47424772487721328</v>
      </c>
      <c r="K297" s="58">
        <v>1.2079634172280674E-4</v>
      </c>
      <c r="L297" s="60">
        <f t="shared" ref="L297" si="209">B$4*O297^B$5*EXP(-B$6/1.987/O297)</f>
        <v>75987666915526.359</v>
      </c>
      <c r="M297" s="58">
        <f t="shared" ref="M297" si="210">$B$7*O297^$B$8*EXP(-$B$9/1.987/O297)</f>
        <v>2239163813339874</v>
      </c>
      <c r="N297" s="59">
        <f t="shared" ref="N297" si="211">10000/O297</f>
        <v>9.8135426889106974</v>
      </c>
      <c r="O297" s="89">
        <v>1019</v>
      </c>
      <c r="P297" s="61"/>
      <c r="Q297" s="58">
        <f t="shared" ref="Q297" si="212">L297/(1+L297/M297/K297)*D297</f>
        <v>223229817334.38684</v>
      </c>
      <c r="R297" s="6">
        <v>188000000000</v>
      </c>
      <c r="S297" s="104">
        <f t="shared" ref="S297" si="213">(R297-Q297)^2/R297^2</f>
        <v>3.5116003548389077E-2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 s="95"/>
      <c r="AK297" s="95"/>
      <c r="AL297" s="95"/>
      <c r="AM297" s="96"/>
      <c r="AN297" s="95"/>
      <c r="AO297" s="95"/>
      <c r="AP297" s="96"/>
      <c r="AQ297" s="96"/>
      <c r="AR297" s="97"/>
      <c r="AS297" s="96"/>
      <c r="AT297" s="95"/>
      <c r="AU297"/>
      <c r="AV297" s="99"/>
      <c r="AW297" s="96"/>
      <c r="AX297" s="6"/>
      <c r="AY297" s="90"/>
      <c r="BA297" s="81">
        <v>1230</v>
      </c>
      <c r="BB297" s="82">
        <v>28.7</v>
      </c>
      <c r="BC297" s="53">
        <v>1680000000000000</v>
      </c>
      <c r="BD297" s="83">
        <f t="shared" si="200"/>
        <v>2.8436973779167663E-4</v>
      </c>
      <c r="BE297" s="83">
        <f t="shared" si="201"/>
        <v>477741159490.01672</v>
      </c>
      <c r="BF297" s="57">
        <v>432018854220.50598</v>
      </c>
    </row>
    <row r="298" spans="1:58" ht="15.75">
      <c r="D298" s="59">
        <f t="shared" ref="D298:D325" si="214">10^E298</f>
        <v>0.79829039315091843</v>
      </c>
      <c r="E298" s="59">
        <f t="shared" ref="E298:E325" si="215">LOG(J298)/(1+(F298/(I298-0.14*F298))^2)</f>
        <v>-9.7839097118337714E-2</v>
      </c>
      <c r="F298" s="59">
        <f t="shared" ref="F298:F325" si="216">LOG(G298)+H298</f>
        <v>-2.2433640116178228</v>
      </c>
      <c r="G298" s="58">
        <f t="shared" ref="G298:G325" si="217">M298*K298/L298</f>
        <v>8.7008064925220164E-3</v>
      </c>
      <c r="H298" s="59">
        <f t="shared" ref="H298:H325" si="218">-0.4-0.67*LOG(J298)</f>
        <v>-0.18292352159490449</v>
      </c>
      <c r="I298" s="59">
        <f t="shared" ref="I298:I325" si="219">0.75-1.27*LOG(J298)</f>
        <v>1.1614733247380169</v>
      </c>
      <c r="J298" s="58">
        <f t="shared" ref="J298:J325" si="220">(1-$B$10)*EXP(-O298/$B$11)+$B$10*EXP(-O298/$B$12)+EXP(-B$13/O298)</f>
        <v>0.47424772487721328</v>
      </c>
      <c r="K298" s="58">
        <v>3.0788903941354469E-4</v>
      </c>
      <c r="L298" s="60">
        <f t="shared" ref="L298:L325" si="221">B$4*O298^B$5*EXP(-B$6/1.987/O298)</f>
        <v>76925503899364.703</v>
      </c>
      <c r="M298" s="58">
        <f t="shared" ref="M298:M325" si="222">$B$7*O298^$B$8*EXP(-$B$9/1.987/O298)</f>
        <v>2173880320790255.2</v>
      </c>
      <c r="N298" s="59">
        <f t="shared" ref="N298:N325" si="223">10000/O298</f>
        <v>9.5693779904306222</v>
      </c>
      <c r="O298" s="89">
        <v>1045</v>
      </c>
      <c r="P298" s="61"/>
      <c r="Q298" s="58">
        <f t="shared" ref="Q298:Q325" si="224">L298/(1+L298/M298/K298)*D298</f>
        <v>529698074897.09528</v>
      </c>
      <c r="R298" s="6">
        <v>438000000000</v>
      </c>
      <c r="S298" s="104">
        <f t="shared" ref="S298:S325" si="225">(R298-Q298)^2/R298^2</f>
        <v>4.3830075164369459E-2</v>
      </c>
      <c r="AJ298" s="95"/>
      <c r="AK298" s="95"/>
      <c r="AL298" s="95"/>
      <c r="AM298" s="96"/>
      <c r="AN298" s="95"/>
      <c r="AO298" s="95"/>
      <c r="AP298" s="96"/>
      <c r="AQ298" s="96"/>
      <c r="AR298" s="97"/>
      <c r="AS298" s="96"/>
      <c r="AT298" s="95"/>
      <c r="AV298" s="99"/>
      <c r="AW298" s="96"/>
      <c r="AX298" s="6"/>
      <c r="AY298" s="90"/>
    </row>
    <row r="299" spans="1:58" s="24" customFormat="1" ht="15.75">
      <c r="A299"/>
      <c r="B299"/>
      <c r="C299"/>
      <c r="D299" s="59">
        <f t="shared" si="214"/>
        <v>0.82912056680556268</v>
      </c>
      <c r="E299" s="59">
        <f t="shared" si="215"/>
        <v>-8.1382311800642163E-2</v>
      </c>
      <c r="F299" s="59">
        <f t="shared" si="216"/>
        <v>-2.6446814746786287</v>
      </c>
      <c r="G299" s="58">
        <f t="shared" si="217"/>
        <v>3.4533615316030821E-3</v>
      </c>
      <c r="H299" s="59">
        <f t="shared" si="218"/>
        <v>-0.18292352159490449</v>
      </c>
      <c r="I299" s="59">
        <f t="shared" si="219"/>
        <v>1.1614733247380169</v>
      </c>
      <c r="J299" s="58">
        <f t="shared" si="220"/>
        <v>0.47424772487721328</v>
      </c>
      <c r="K299" s="58">
        <v>1.2810809450017064E-4</v>
      </c>
      <c r="L299" s="60">
        <f t="shared" si="221"/>
        <v>77999715265208.937</v>
      </c>
      <c r="M299" s="58">
        <f t="shared" si="222"/>
        <v>2102608872794587.2</v>
      </c>
      <c r="N299" s="59">
        <f t="shared" si="223"/>
        <v>9.3023255813953494</v>
      </c>
      <c r="O299" s="89">
        <v>1075</v>
      </c>
      <c r="P299" s="61"/>
      <c r="Q299" s="58">
        <f t="shared" si="224"/>
        <v>222564329136.13675</v>
      </c>
      <c r="R299" s="6">
        <v>208000000000</v>
      </c>
      <c r="S299" s="104">
        <f t="shared" si="225"/>
        <v>4.9029142748179049E-3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 s="95"/>
      <c r="AK299" s="95"/>
      <c r="AL299" s="95"/>
      <c r="AM299" s="96"/>
      <c r="AN299" s="95"/>
      <c r="AO299" s="95"/>
      <c r="AP299" s="96"/>
      <c r="AQ299" s="96"/>
      <c r="AR299" s="97"/>
      <c r="AS299" s="96"/>
      <c r="AT299" s="95"/>
      <c r="AU299"/>
      <c r="AV299" s="99"/>
      <c r="AW299" s="96"/>
      <c r="AX299" s="6"/>
      <c r="AY299" s="90"/>
      <c r="BA299"/>
      <c r="BB299"/>
      <c r="BC299"/>
      <c r="BD299"/>
      <c r="BE299"/>
      <c r="BF299"/>
    </row>
    <row r="300" spans="1:58" ht="15.75">
      <c r="D300" s="59">
        <f t="shared" si="214"/>
        <v>0.80477653249924341</v>
      </c>
      <c r="E300" s="59">
        <f t="shared" si="215"/>
        <v>-9.4324696247739148E-2</v>
      </c>
      <c r="F300" s="59">
        <f t="shared" si="216"/>
        <v>-2.3189760650698017</v>
      </c>
      <c r="G300" s="58">
        <f t="shared" si="217"/>
        <v>7.3105063137121583E-3</v>
      </c>
      <c r="H300" s="59">
        <f t="shared" si="218"/>
        <v>-0.18292352159490449</v>
      </c>
      <c r="I300" s="59">
        <f t="shared" si="219"/>
        <v>1.1614733247380169</v>
      </c>
      <c r="J300" s="58">
        <f t="shared" si="220"/>
        <v>0.47424772487721328</v>
      </c>
      <c r="K300" s="58">
        <v>2.7246133106729689E-4</v>
      </c>
      <c r="L300" s="60">
        <f t="shared" si="221"/>
        <v>78106675902592.969</v>
      </c>
      <c r="M300" s="58">
        <f t="shared" si="222"/>
        <v>2095707838951798.5</v>
      </c>
      <c r="N300" s="59">
        <f t="shared" si="223"/>
        <v>9.2764378478664185</v>
      </c>
      <c r="O300" s="89">
        <v>1078</v>
      </c>
      <c r="P300" s="61"/>
      <c r="Q300" s="58">
        <f t="shared" si="224"/>
        <v>456191881175.14874</v>
      </c>
      <c r="R300" s="6">
        <v>429000000000</v>
      </c>
      <c r="S300" s="104">
        <f t="shared" si="225"/>
        <v>4.0175743548633647E-3</v>
      </c>
      <c r="AJ300" s="95"/>
      <c r="AK300" s="95"/>
      <c r="AL300" s="95"/>
      <c r="AM300" s="96"/>
      <c r="AN300" s="95"/>
      <c r="AO300" s="95"/>
      <c r="AP300" s="96"/>
      <c r="AQ300" s="96"/>
      <c r="AR300" s="97"/>
      <c r="AS300" s="96"/>
      <c r="AT300" s="95"/>
      <c r="AV300" s="99"/>
      <c r="AW300" s="96"/>
      <c r="AX300" s="6"/>
      <c r="AY300" s="90"/>
    </row>
    <row r="301" spans="1:58" ht="15.75">
      <c r="D301" s="59">
        <f t="shared" si="214"/>
        <v>0.79623491879394692</v>
      </c>
      <c r="E301" s="59">
        <f t="shared" si="215"/>
        <v>-9.8958780398001683E-2</v>
      </c>
      <c r="F301" s="59">
        <f t="shared" si="216"/>
        <v>-2.2202220461963424</v>
      </c>
      <c r="G301" s="58">
        <f t="shared" si="217"/>
        <v>9.1770157148846968E-3</v>
      </c>
      <c r="H301" s="59">
        <f t="shared" si="218"/>
        <v>-0.18292352159490449</v>
      </c>
      <c r="I301" s="59">
        <f t="shared" si="219"/>
        <v>1.1614733247380169</v>
      </c>
      <c r="J301" s="58">
        <f t="shared" si="220"/>
        <v>0.47424772487721328</v>
      </c>
      <c r="K301" s="58">
        <v>3.5217557056893409E-4</v>
      </c>
      <c r="L301" s="60">
        <f t="shared" si="221"/>
        <v>78782169838199.766</v>
      </c>
      <c r="M301" s="58">
        <f t="shared" si="222"/>
        <v>2052911306397269.7</v>
      </c>
      <c r="N301" s="59">
        <f t="shared" si="223"/>
        <v>9.115770282588878</v>
      </c>
      <c r="O301" s="89">
        <v>1097</v>
      </c>
      <c r="P301" s="61"/>
      <c r="Q301" s="58">
        <f t="shared" si="224"/>
        <v>570431214279.69165</v>
      </c>
      <c r="R301" s="6">
        <v>538000000000</v>
      </c>
      <c r="S301" s="104">
        <f t="shared" si="225"/>
        <v>3.6338070910271955E-3</v>
      </c>
      <c r="AJ301" s="95"/>
      <c r="AK301" s="95"/>
      <c r="AL301" s="95"/>
      <c r="AM301" s="96"/>
      <c r="AN301" s="95"/>
      <c r="AO301" s="95"/>
      <c r="AP301" s="96"/>
      <c r="AQ301" s="96"/>
      <c r="AR301" s="97"/>
      <c r="AS301" s="96"/>
      <c r="AT301" s="95"/>
      <c r="AV301" s="99"/>
      <c r="AW301" s="96"/>
      <c r="AX301" s="6"/>
      <c r="AY301" s="90"/>
    </row>
    <row r="302" spans="1:58" ht="15.75">
      <c r="D302" s="59">
        <f t="shared" si="214"/>
        <v>0.76418279673256517</v>
      </c>
      <c r="E302" s="59">
        <f t="shared" si="215"/>
        <v>-0.11680274336602622</v>
      </c>
      <c r="F302" s="59">
        <f t="shared" si="216"/>
        <v>-1.9014759296922943</v>
      </c>
      <c r="G302" s="58">
        <f t="shared" si="217"/>
        <v>1.9118226032044949E-2</v>
      </c>
      <c r="H302" s="59">
        <f t="shared" si="218"/>
        <v>-0.18292352159490449</v>
      </c>
      <c r="I302" s="59">
        <f t="shared" si="219"/>
        <v>1.1614733247380169</v>
      </c>
      <c r="J302" s="58">
        <f t="shared" si="220"/>
        <v>0.47424772487721328</v>
      </c>
      <c r="K302" s="58">
        <v>7.437983970913786E-4</v>
      </c>
      <c r="L302" s="60">
        <f t="shared" si="221"/>
        <v>79100988647881.641</v>
      </c>
      <c r="M302" s="58">
        <f t="shared" si="222"/>
        <v>2033172679911858</v>
      </c>
      <c r="N302" s="59">
        <f t="shared" si="223"/>
        <v>9.0415913200723335</v>
      </c>
      <c r="O302" s="89">
        <v>1106</v>
      </c>
      <c r="P302" s="61"/>
      <c r="Q302" s="58">
        <f t="shared" si="224"/>
        <v>1133971635451.2683</v>
      </c>
      <c r="R302" s="6">
        <v>931000000000</v>
      </c>
      <c r="S302" s="104">
        <f t="shared" si="225"/>
        <v>4.7530385882339612E-2</v>
      </c>
      <c r="AJ302" s="95"/>
      <c r="AK302" s="95"/>
      <c r="AL302" s="95"/>
      <c r="AM302" s="96"/>
      <c r="AN302" s="95"/>
      <c r="AO302" s="95"/>
      <c r="AP302" s="96"/>
      <c r="AQ302" s="96"/>
      <c r="AR302" s="97"/>
      <c r="AS302" s="96"/>
      <c r="AT302" s="95"/>
      <c r="AV302" s="99"/>
      <c r="AW302" s="96"/>
      <c r="AX302" s="6"/>
      <c r="AY302" s="90"/>
    </row>
    <row r="303" spans="1:58" ht="15.75">
      <c r="D303" s="59">
        <f t="shared" si="214"/>
        <v>0.79672094741977761</v>
      </c>
      <c r="E303" s="59">
        <f t="shared" si="215"/>
        <v>-9.8693764196018621E-2</v>
      </c>
      <c r="F303" s="59">
        <f t="shared" si="216"/>
        <v>-2.2256599171750118</v>
      </c>
      <c r="G303" s="58">
        <f t="shared" si="217"/>
        <v>9.0628252174739365E-3</v>
      </c>
      <c r="H303" s="59">
        <f t="shared" si="218"/>
        <v>-0.18292352159490449</v>
      </c>
      <c r="I303" s="59">
        <f t="shared" si="219"/>
        <v>1.1614733247380169</v>
      </c>
      <c r="J303" s="58">
        <f t="shared" si="220"/>
        <v>0.47424772487721328</v>
      </c>
      <c r="K303" s="58">
        <v>3.5742051604565641E-4</v>
      </c>
      <c r="L303" s="60">
        <f t="shared" si="221"/>
        <v>79419072727256.312</v>
      </c>
      <c r="M303" s="58">
        <f t="shared" si="222"/>
        <v>2013765698242777.5</v>
      </c>
      <c r="N303" s="59">
        <f t="shared" si="223"/>
        <v>8.9686098654708513</v>
      </c>
      <c r="O303" s="89">
        <v>1115</v>
      </c>
      <c r="P303" s="61"/>
      <c r="Q303" s="58">
        <f t="shared" si="224"/>
        <v>568298416094.12415</v>
      </c>
      <c r="R303" s="6">
        <v>506000000000</v>
      </c>
      <c r="S303" s="104">
        <f t="shared" si="225"/>
        <v>1.5158386507509204E-2</v>
      </c>
      <c r="AJ303" s="95"/>
      <c r="AK303" s="95"/>
      <c r="AL303" s="95"/>
      <c r="AM303" s="96"/>
      <c r="AN303" s="95"/>
      <c r="AO303" s="95"/>
      <c r="AP303" s="96"/>
      <c r="AQ303" s="96"/>
      <c r="AR303" s="97"/>
      <c r="AS303" s="96"/>
      <c r="AT303" s="95"/>
      <c r="AV303" s="99"/>
      <c r="AW303" s="96"/>
      <c r="AX303" s="6"/>
      <c r="AY303" s="90"/>
    </row>
    <row r="304" spans="1:58" ht="15.75">
      <c r="D304" s="59">
        <f t="shared" si="214"/>
        <v>0.76632600924143235</v>
      </c>
      <c r="E304" s="59">
        <f t="shared" si="215"/>
        <v>-0.11558643416099366</v>
      </c>
      <c r="F304" s="59">
        <f t="shared" si="216"/>
        <v>-1.9206637342934296</v>
      </c>
      <c r="G304" s="58">
        <f t="shared" si="217"/>
        <v>1.8291940805910699E-2</v>
      </c>
      <c r="H304" s="59">
        <f t="shared" si="218"/>
        <v>-0.18292352159490449</v>
      </c>
      <c r="I304" s="59">
        <f t="shared" si="219"/>
        <v>1.1614733247380169</v>
      </c>
      <c r="J304" s="58">
        <f t="shared" si="220"/>
        <v>0.47424772487721328</v>
      </c>
      <c r="K304" s="58">
        <v>7.2139920669765515E-4</v>
      </c>
      <c r="L304" s="60">
        <f t="shared" si="221"/>
        <v>79419072727256.312</v>
      </c>
      <c r="M304" s="58">
        <f t="shared" si="222"/>
        <v>2013765698242777.5</v>
      </c>
      <c r="N304" s="59">
        <f t="shared" si="223"/>
        <v>8.9686098654708513</v>
      </c>
      <c r="O304" s="89">
        <v>1115</v>
      </c>
      <c r="P304" s="61"/>
      <c r="Q304" s="58">
        <f t="shared" si="224"/>
        <v>1093266041874.2471</v>
      </c>
      <c r="R304" s="6">
        <v>1080000000000</v>
      </c>
      <c r="S304" s="104">
        <f t="shared" si="225"/>
        <v>1.5088123028916042E-4</v>
      </c>
      <c r="AJ304" s="95"/>
      <c r="AK304" s="95"/>
      <c r="AL304" s="95"/>
      <c r="AM304" s="96"/>
      <c r="AN304" s="95"/>
      <c r="AO304" s="95"/>
      <c r="AP304" s="96"/>
      <c r="AQ304" s="96"/>
      <c r="AR304" s="97"/>
      <c r="AS304" s="96"/>
      <c r="AT304" s="95"/>
      <c r="AV304" s="99"/>
      <c r="AW304" s="96"/>
      <c r="AX304" s="6"/>
      <c r="AY304" s="90"/>
    </row>
    <row r="305" spans="4:58" ht="15.75">
      <c r="D305" s="59">
        <f t="shared" si="214"/>
        <v>0.73278495865269433</v>
      </c>
      <c r="E305" s="59">
        <f t="shared" si="215"/>
        <v>-0.13502345369770799</v>
      </c>
      <c r="F305" s="59">
        <f t="shared" si="216"/>
        <v>-1.6467981181953453</v>
      </c>
      <c r="G305" s="58">
        <f t="shared" si="217"/>
        <v>3.4365716526782657E-2</v>
      </c>
      <c r="H305" s="59">
        <f t="shared" si="218"/>
        <v>-0.18292352159490449</v>
      </c>
      <c r="I305" s="59">
        <f t="shared" si="219"/>
        <v>1.1614733247380169</v>
      </c>
      <c r="J305" s="58">
        <f t="shared" si="220"/>
        <v>0.47424772487721328</v>
      </c>
      <c r="K305" s="58">
        <v>1.3758078742683024E-3</v>
      </c>
      <c r="L305" s="60">
        <f t="shared" si="221"/>
        <v>79771642967365.547</v>
      </c>
      <c r="M305" s="58">
        <f t="shared" si="222"/>
        <v>1992581755319700.2</v>
      </c>
      <c r="N305" s="59">
        <f t="shared" si="223"/>
        <v>8.8888888888888893</v>
      </c>
      <c r="O305" s="89">
        <v>1125</v>
      </c>
      <c r="P305" s="61"/>
      <c r="Q305" s="58">
        <f t="shared" si="224"/>
        <v>1942121378269.6062</v>
      </c>
      <c r="R305" s="6">
        <v>2360000000000</v>
      </c>
      <c r="S305" s="104">
        <f t="shared" si="225"/>
        <v>3.135279777709235E-2</v>
      </c>
      <c r="AJ305" s="95"/>
      <c r="AK305" s="95"/>
      <c r="AL305" s="95"/>
      <c r="AM305" s="96"/>
      <c r="AN305" s="95"/>
      <c r="AO305" s="95"/>
      <c r="AP305" s="96"/>
      <c r="AQ305" s="96"/>
      <c r="AR305" s="97"/>
      <c r="AS305" s="96"/>
      <c r="AT305" s="95"/>
      <c r="AV305" s="99"/>
      <c r="AW305" s="96"/>
      <c r="AX305" s="6"/>
      <c r="AY305" s="90"/>
    </row>
    <row r="306" spans="4:58" ht="15.75">
      <c r="D306" s="59">
        <f t="shared" si="214"/>
        <v>0.79788294321254316</v>
      </c>
      <c r="E306" s="59">
        <f t="shared" si="215"/>
        <v>-9.8060818982373898E-2</v>
      </c>
      <c r="F306" s="59">
        <f t="shared" si="216"/>
        <v>-2.2387463925280628</v>
      </c>
      <c r="G306" s="58">
        <f t="shared" si="217"/>
        <v>8.7938110345937431E-3</v>
      </c>
      <c r="H306" s="59">
        <f t="shared" si="218"/>
        <v>-0.18292352159490449</v>
      </c>
      <c r="I306" s="59">
        <f t="shared" si="219"/>
        <v>1.1614733247380169</v>
      </c>
      <c r="J306" s="58">
        <f t="shared" si="220"/>
        <v>0.47424772487721328</v>
      </c>
      <c r="K306" s="58">
        <v>3.5680556669250442E-4</v>
      </c>
      <c r="L306" s="60">
        <f t="shared" si="221"/>
        <v>80088190015419.578</v>
      </c>
      <c r="M306" s="58">
        <f t="shared" si="222"/>
        <v>1973849274905475.7</v>
      </c>
      <c r="N306" s="59">
        <f t="shared" si="223"/>
        <v>8.8183421516754859</v>
      </c>
      <c r="O306" s="89">
        <v>1134</v>
      </c>
      <c r="P306" s="61"/>
      <c r="Q306" s="58">
        <f t="shared" si="224"/>
        <v>557034866304.27551</v>
      </c>
      <c r="R306" s="6">
        <v>506000000000</v>
      </c>
      <c r="S306" s="104">
        <f t="shared" si="225"/>
        <v>1.0172622516737005E-2</v>
      </c>
      <c r="AJ306" s="95"/>
      <c r="AK306" s="95"/>
      <c r="AL306" s="95"/>
      <c r="AM306" s="96"/>
      <c r="AN306" s="95"/>
      <c r="AO306" s="95"/>
      <c r="AP306" s="96"/>
      <c r="AQ306" s="96"/>
      <c r="AR306" s="97"/>
      <c r="AS306" s="96"/>
      <c r="AT306" s="95"/>
      <c r="AV306" s="99"/>
      <c r="AW306" s="96"/>
      <c r="AX306" s="6"/>
      <c r="AY306" s="90"/>
    </row>
    <row r="307" spans="4:58" ht="15.75">
      <c r="D307" s="59">
        <f t="shared" si="214"/>
        <v>0.81102248896596885</v>
      </c>
      <c r="E307" s="59">
        <f t="shared" si="215"/>
        <v>-9.096710300412178E-2</v>
      </c>
      <c r="F307" s="59">
        <f t="shared" si="216"/>
        <v>-2.3957964968000711</v>
      </c>
      <c r="G307" s="58">
        <f t="shared" si="217"/>
        <v>6.1252952146857989E-3</v>
      </c>
      <c r="H307" s="59">
        <f t="shared" si="218"/>
        <v>-0.18292352159490449</v>
      </c>
      <c r="I307" s="59">
        <f t="shared" si="219"/>
        <v>1.1614733247380169</v>
      </c>
      <c r="J307" s="58">
        <f t="shared" si="220"/>
        <v>0.47424772487721328</v>
      </c>
      <c r="K307" s="58">
        <v>2.5037947564248971E-4</v>
      </c>
      <c r="L307" s="60">
        <f t="shared" si="221"/>
        <v>80263737500032.172</v>
      </c>
      <c r="M307" s="58">
        <f t="shared" si="222"/>
        <v>1963575832085145.7</v>
      </c>
      <c r="N307" s="59">
        <f t="shared" si="223"/>
        <v>8.7796312554872689</v>
      </c>
      <c r="O307" s="89">
        <v>1139</v>
      </c>
      <c r="P307" s="61"/>
      <c r="Q307" s="58">
        <f t="shared" si="224"/>
        <v>396302884032.40619</v>
      </c>
      <c r="R307" s="6">
        <v>367000000000</v>
      </c>
      <c r="S307" s="104">
        <f t="shared" si="225"/>
        <v>6.3751235261724831E-3</v>
      </c>
      <c r="AJ307" s="95"/>
      <c r="AK307" s="95"/>
      <c r="AL307" s="95"/>
      <c r="AM307" s="96"/>
      <c r="AN307" s="95"/>
      <c r="AO307" s="95"/>
      <c r="AP307" s="96"/>
      <c r="AQ307" s="96"/>
      <c r="AR307" s="97"/>
      <c r="AS307" s="96"/>
      <c r="AT307" s="95"/>
      <c r="AV307" s="99"/>
      <c r="AW307" s="96"/>
      <c r="AX307" s="6"/>
      <c r="AY307" s="90"/>
    </row>
    <row r="308" spans="4:58" ht="15.75">
      <c r="D308" s="59">
        <f t="shared" si="214"/>
        <v>0.75357445624139452</v>
      </c>
      <c r="E308" s="59">
        <f t="shared" si="215"/>
        <v>-0.12287383115655981</v>
      </c>
      <c r="F308" s="59">
        <f t="shared" si="216"/>
        <v>-1.8101924266502771</v>
      </c>
      <c r="G308" s="58">
        <f t="shared" si="217"/>
        <v>2.3590171322744918E-2</v>
      </c>
      <c r="H308" s="59">
        <f t="shared" si="218"/>
        <v>-0.18292352159490449</v>
      </c>
      <c r="I308" s="59">
        <f t="shared" si="219"/>
        <v>1.1614733247380169</v>
      </c>
      <c r="J308" s="58">
        <f t="shared" si="220"/>
        <v>0.47424772487721328</v>
      </c>
      <c r="K308" s="58">
        <v>9.728531765748939E-4</v>
      </c>
      <c r="L308" s="60">
        <f t="shared" si="221"/>
        <v>80474101619727</v>
      </c>
      <c r="M308" s="58">
        <f t="shared" si="222"/>
        <v>1951371378502353.5</v>
      </c>
      <c r="N308" s="59">
        <f t="shared" si="223"/>
        <v>8.7336244541484724</v>
      </c>
      <c r="O308" s="89">
        <v>1145</v>
      </c>
      <c r="P308" s="61"/>
      <c r="Q308" s="58">
        <f t="shared" si="224"/>
        <v>1397614165603.3708</v>
      </c>
      <c r="R308" s="6">
        <v>1360000000000</v>
      </c>
      <c r="S308" s="104">
        <f t="shared" si="225"/>
        <v>7.6493590724362398E-4</v>
      </c>
      <c r="AJ308" s="95"/>
      <c r="AK308" s="95"/>
      <c r="AL308" s="95"/>
      <c r="AM308" s="96"/>
      <c r="AN308" s="95"/>
      <c r="AO308" s="95"/>
      <c r="AP308" s="96"/>
      <c r="AQ308" s="96"/>
      <c r="AR308" s="97"/>
      <c r="AS308" s="96"/>
      <c r="AT308" s="95"/>
      <c r="AV308" s="99"/>
      <c r="AW308" s="96"/>
      <c r="AX308" s="6"/>
      <c r="AY308" s="90"/>
    </row>
    <row r="309" spans="4:58" ht="15.75">
      <c r="D309" s="59">
        <f t="shared" si="214"/>
        <v>0.80994444462890469</v>
      </c>
      <c r="E309" s="59">
        <f t="shared" si="215"/>
        <v>-9.1544769045493246E-2</v>
      </c>
      <c r="F309" s="59">
        <f t="shared" si="216"/>
        <v>-2.3822390596755638</v>
      </c>
      <c r="G309" s="58">
        <f t="shared" si="217"/>
        <v>6.3195253734904784E-3</v>
      </c>
      <c r="H309" s="59">
        <f t="shared" si="218"/>
        <v>-0.18292352159490449</v>
      </c>
      <c r="I309" s="59">
        <f t="shared" si="219"/>
        <v>1.1614733247380169</v>
      </c>
      <c r="J309" s="58">
        <f t="shared" si="220"/>
        <v>0.47424772487721328</v>
      </c>
      <c r="K309" s="58">
        <v>2.6138356767998181E-4</v>
      </c>
      <c r="L309" s="60">
        <f t="shared" si="221"/>
        <v>80544152200547.078</v>
      </c>
      <c r="M309" s="58">
        <f t="shared" si="222"/>
        <v>1947332871899652.7</v>
      </c>
      <c r="N309" s="59">
        <f t="shared" si="223"/>
        <v>8.7183958151700089</v>
      </c>
      <c r="O309" s="89">
        <v>1147</v>
      </c>
      <c r="P309" s="61"/>
      <c r="Q309" s="58">
        <f t="shared" si="224"/>
        <v>409673439524.28375</v>
      </c>
      <c r="R309" s="6">
        <v>383000000000</v>
      </c>
      <c r="S309" s="104">
        <f t="shared" si="225"/>
        <v>4.850209463938146E-3</v>
      </c>
      <c r="AJ309" s="95"/>
      <c r="AK309" s="95"/>
      <c r="AL309" s="95"/>
      <c r="AM309" s="96"/>
      <c r="AN309" s="95"/>
      <c r="AO309" s="95"/>
      <c r="AP309" s="96"/>
      <c r="AQ309" s="96"/>
      <c r="AR309" s="97"/>
      <c r="AS309" s="96"/>
      <c r="AT309" s="95"/>
      <c r="AV309" s="99"/>
      <c r="AW309" s="96"/>
      <c r="AX309" s="6"/>
      <c r="AY309" s="90"/>
    </row>
    <row r="310" spans="4:58" ht="15.75">
      <c r="D310" s="59">
        <f t="shared" si="214"/>
        <v>0.74960907659638576</v>
      </c>
      <c r="E310" s="59">
        <f t="shared" si="215"/>
        <v>-0.1251651634598466</v>
      </c>
      <c r="F310" s="59">
        <f t="shared" si="216"/>
        <v>-1.7775389721813935</v>
      </c>
      <c r="G310" s="58">
        <f t="shared" si="217"/>
        <v>2.5432236259168996E-2</v>
      </c>
      <c r="H310" s="59">
        <f t="shared" si="218"/>
        <v>-0.18292352159490449</v>
      </c>
      <c r="I310" s="59">
        <f t="shared" si="219"/>
        <v>1.1614733247380169</v>
      </c>
      <c r="J310" s="58">
        <f t="shared" si="220"/>
        <v>0.47424772487721328</v>
      </c>
      <c r="K310" s="58">
        <v>1.0519094796877316E-3</v>
      </c>
      <c r="L310" s="60">
        <f t="shared" si="221"/>
        <v>80544152200547.078</v>
      </c>
      <c r="M310" s="58">
        <f t="shared" si="222"/>
        <v>1947332871899652.7</v>
      </c>
      <c r="N310" s="59">
        <f t="shared" si="223"/>
        <v>8.7183958151700089</v>
      </c>
      <c r="O310" s="89">
        <v>1147</v>
      </c>
      <c r="P310" s="61"/>
      <c r="Q310" s="58">
        <f t="shared" si="224"/>
        <v>1497429671359.9265</v>
      </c>
      <c r="R310" s="6">
        <v>1510000000000</v>
      </c>
      <c r="S310" s="104">
        <f t="shared" si="225"/>
        <v>6.9300978956822836E-5</v>
      </c>
      <c r="AJ310" s="95"/>
      <c r="AK310" s="95"/>
      <c r="AL310" s="95"/>
      <c r="AM310" s="96"/>
      <c r="AN310" s="95"/>
      <c r="AO310" s="95"/>
      <c r="AP310" s="96"/>
      <c r="AQ310" s="96"/>
      <c r="AR310" s="97"/>
      <c r="AS310" s="96"/>
      <c r="AT310" s="95"/>
      <c r="AV310" s="99"/>
      <c r="AW310" s="96"/>
      <c r="AX310" s="6"/>
      <c r="AY310" s="90"/>
      <c r="BA310" s="24"/>
      <c r="BB310" s="24"/>
      <c r="BC310" s="24"/>
      <c r="BD310" s="24"/>
      <c r="BE310" s="24"/>
      <c r="BF310" s="24"/>
    </row>
    <row r="311" spans="4:58" ht="15.75">
      <c r="D311" s="59">
        <f t="shared" si="214"/>
        <v>0.75348649181778826</v>
      </c>
      <c r="E311" s="59">
        <f t="shared" si="215"/>
        <v>-0.1229245291245067</v>
      </c>
      <c r="F311" s="59">
        <f t="shared" si="216"/>
        <v>-1.8094597965809611</v>
      </c>
      <c r="G311" s="58">
        <f t="shared" si="217"/>
        <v>2.3630000183991754E-2</v>
      </c>
      <c r="H311" s="59">
        <f t="shared" si="218"/>
        <v>-0.18292352159490449</v>
      </c>
      <c r="I311" s="59">
        <f t="shared" si="219"/>
        <v>1.1614733247380169</v>
      </c>
      <c r="J311" s="58">
        <f t="shared" si="220"/>
        <v>0.47424772487721328</v>
      </c>
      <c r="K311" s="58">
        <v>9.7880375153282435E-4</v>
      </c>
      <c r="L311" s="60">
        <f t="shared" si="221"/>
        <v>80579164243912.5</v>
      </c>
      <c r="M311" s="58">
        <f t="shared" si="222"/>
        <v>1945319133613578.5</v>
      </c>
      <c r="N311" s="59">
        <f t="shared" si="223"/>
        <v>8.7108013937282234</v>
      </c>
      <c r="O311" s="89">
        <v>1148</v>
      </c>
      <c r="P311" s="61"/>
      <c r="Q311" s="58">
        <f t="shared" si="224"/>
        <v>1401583412237.6714</v>
      </c>
      <c r="R311" s="6">
        <v>1350000000000</v>
      </c>
      <c r="S311" s="104">
        <f t="shared" si="225"/>
        <v>1.4599991320063356E-3</v>
      </c>
      <c r="AJ311" s="95"/>
      <c r="AK311" s="95"/>
      <c r="AL311" s="95"/>
      <c r="AM311" s="96"/>
      <c r="AN311" s="95"/>
      <c r="AO311" s="95"/>
      <c r="AP311" s="96"/>
      <c r="AQ311" s="96"/>
      <c r="AR311" s="97"/>
      <c r="AS311" s="96"/>
      <c r="AT311" s="95"/>
      <c r="AV311" s="99"/>
      <c r="AW311" s="96"/>
      <c r="AX311" s="6"/>
      <c r="AY311" s="90"/>
    </row>
    <row r="312" spans="4:58" ht="15.75">
      <c r="D312" s="59">
        <f t="shared" si="214"/>
        <v>0.7533826560149387</v>
      </c>
      <c r="E312" s="59">
        <f t="shared" si="215"/>
        <v>-0.12298438212015382</v>
      </c>
      <c r="F312" s="59">
        <f t="shared" si="216"/>
        <v>-1.8085954693021291</v>
      </c>
      <c r="G312" s="58">
        <f t="shared" si="217"/>
        <v>2.3677075134154447E-2</v>
      </c>
      <c r="H312" s="59">
        <f t="shared" si="218"/>
        <v>-0.18292352159490449</v>
      </c>
      <c r="I312" s="59">
        <f t="shared" si="219"/>
        <v>1.1614733247380169</v>
      </c>
      <c r="J312" s="58">
        <f t="shared" si="220"/>
        <v>0.47424772487721328</v>
      </c>
      <c r="K312" s="58">
        <v>9.8219461840765607E-4</v>
      </c>
      <c r="L312" s="60">
        <f t="shared" si="221"/>
        <v>80614167463776.062</v>
      </c>
      <c r="M312" s="58">
        <f t="shared" si="222"/>
        <v>1943309059269283</v>
      </c>
      <c r="N312" s="59">
        <f t="shared" si="223"/>
        <v>8.7032201914708445</v>
      </c>
      <c r="O312" s="89">
        <v>1149</v>
      </c>
      <c r="P312" s="61"/>
      <c r="Q312" s="58">
        <f t="shared" si="224"/>
        <v>1404727439394.1907</v>
      </c>
      <c r="R312" s="6">
        <v>1240000000000</v>
      </c>
      <c r="S312" s="104">
        <f t="shared" si="225"/>
        <v>1.76477167594737E-2</v>
      </c>
      <c r="AJ312" s="95"/>
      <c r="AK312" s="95"/>
      <c r="AL312" s="95"/>
      <c r="AM312" s="96"/>
      <c r="AN312" s="95"/>
      <c r="AO312" s="95"/>
      <c r="AP312" s="96"/>
      <c r="AQ312" s="96"/>
      <c r="AR312" s="97"/>
      <c r="AS312" s="96"/>
      <c r="AT312" s="95"/>
      <c r="AV312" s="99"/>
      <c r="AW312" s="96"/>
      <c r="AX312" s="6"/>
      <c r="AY312" s="90"/>
      <c r="BA312" s="24"/>
      <c r="BB312" s="24"/>
      <c r="BC312" s="24"/>
      <c r="BD312" s="24"/>
      <c r="BE312" s="24"/>
      <c r="BF312" s="24"/>
    </row>
    <row r="313" spans="4:58" ht="15.75">
      <c r="D313" s="59">
        <f t="shared" si="214"/>
        <v>0.73485820166942228</v>
      </c>
      <c r="E313" s="59">
        <f t="shared" si="215"/>
        <v>-0.13379645434925885</v>
      </c>
      <c r="F313" s="59">
        <f t="shared" si="216"/>
        <v>-1.662278030807977</v>
      </c>
      <c r="G313" s="58">
        <f t="shared" si="217"/>
        <v>3.3162364675744883E-2</v>
      </c>
      <c r="H313" s="59">
        <f t="shared" si="218"/>
        <v>-0.18292352159490449</v>
      </c>
      <c r="I313" s="59">
        <f t="shared" si="219"/>
        <v>1.1614733247380169</v>
      </c>
      <c r="J313" s="58">
        <f t="shared" si="220"/>
        <v>0.47424772487721328</v>
      </c>
      <c r="K313" s="58">
        <v>1.377691897375825E-3</v>
      </c>
      <c r="L313" s="60">
        <f t="shared" si="221"/>
        <v>80649161866033.281</v>
      </c>
      <c r="M313" s="58">
        <f t="shared" si="222"/>
        <v>1941302639355643.3</v>
      </c>
      <c r="N313" s="59">
        <f t="shared" si="223"/>
        <v>8.695652173913043</v>
      </c>
      <c r="O313" s="89">
        <v>1150</v>
      </c>
      <c r="P313" s="61"/>
      <c r="Q313" s="58">
        <f t="shared" si="224"/>
        <v>1902305735149.3523</v>
      </c>
      <c r="R313" s="6">
        <v>1770000000000</v>
      </c>
      <c r="S313" s="104">
        <f t="shared" si="225"/>
        <v>5.5874134359253586E-3</v>
      </c>
      <c r="AJ313" s="95"/>
      <c r="AK313" s="95"/>
      <c r="AL313" s="95"/>
      <c r="AM313" s="96"/>
      <c r="AN313" s="95"/>
      <c r="AO313" s="95"/>
      <c r="AP313" s="96"/>
      <c r="AQ313" s="96"/>
      <c r="AR313" s="97"/>
      <c r="AS313" s="96"/>
      <c r="AT313" s="95"/>
      <c r="AV313" s="99"/>
      <c r="AW313" s="96"/>
      <c r="AX313" s="6"/>
      <c r="AY313" s="90"/>
    </row>
    <row r="314" spans="4:58" ht="15.75">
      <c r="D314" s="59">
        <f t="shared" si="214"/>
        <v>0.83484620223823858</v>
      </c>
      <c r="E314" s="59">
        <f t="shared" si="215"/>
        <v>-7.8393524122782429E-2</v>
      </c>
      <c r="F314" s="59">
        <f t="shared" si="216"/>
        <v>-2.7330759593529583</v>
      </c>
      <c r="G314" s="58">
        <f t="shared" si="217"/>
        <v>2.8173938498871984E-3</v>
      </c>
      <c r="H314" s="59">
        <f t="shared" si="218"/>
        <v>-0.18292352159490449</v>
      </c>
      <c r="I314" s="59">
        <f t="shared" si="219"/>
        <v>1.1614733247380169</v>
      </c>
      <c r="J314" s="58">
        <f t="shared" si="220"/>
        <v>0.47424772487721328</v>
      </c>
      <c r="K314" s="58">
        <v>1.1807739977509066E-4</v>
      </c>
      <c r="L314" s="60">
        <f t="shared" si="221"/>
        <v>80858943439955.328</v>
      </c>
      <c r="M314" s="58">
        <f t="shared" si="222"/>
        <v>1929340334306426.2</v>
      </c>
      <c r="N314" s="59">
        <f t="shared" si="223"/>
        <v>8.6505190311418687</v>
      </c>
      <c r="O314" s="89">
        <v>1156</v>
      </c>
      <c r="P314" s="61"/>
      <c r="Q314" s="58">
        <f t="shared" si="224"/>
        <v>189653229374.04086</v>
      </c>
      <c r="R314" s="6">
        <v>182000000000</v>
      </c>
      <c r="S314" s="104">
        <f t="shared" si="225"/>
        <v>1.7682622826857234E-3</v>
      </c>
      <c r="AJ314" s="95"/>
      <c r="AK314" s="95"/>
      <c r="AL314" s="95"/>
      <c r="AM314" s="96"/>
      <c r="AN314" s="95"/>
      <c r="AO314" s="95"/>
      <c r="AP314" s="96"/>
      <c r="AQ314" s="96"/>
      <c r="AR314" s="97"/>
      <c r="AS314" s="96"/>
      <c r="AT314" s="95"/>
      <c r="AV314" s="99"/>
      <c r="AW314" s="96"/>
      <c r="AX314" s="6"/>
      <c r="AY314" s="90"/>
    </row>
    <row r="315" spans="4:58" ht="15.75">
      <c r="D315" s="59">
        <f t="shared" si="214"/>
        <v>0.73041467325798481</v>
      </c>
      <c r="E315" s="59">
        <f t="shared" si="215"/>
        <v>-0.13643051086947844</v>
      </c>
      <c r="F315" s="59">
        <f t="shared" si="216"/>
        <v>-1.6293013290671106</v>
      </c>
      <c r="G315" s="58">
        <f t="shared" si="217"/>
        <v>3.5778505235088055E-2</v>
      </c>
      <c r="H315" s="59">
        <f t="shared" si="218"/>
        <v>-0.18292352159490449</v>
      </c>
      <c r="I315" s="59">
        <f t="shared" si="219"/>
        <v>1.1614733247380169</v>
      </c>
      <c r="J315" s="58">
        <f t="shared" si="220"/>
        <v>0.47424772487721328</v>
      </c>
      <c r="K315" s="58">
        <v>1.5569191590479761E-3</v>
      </c>
      <c r="L315" s="60">
        <f t="shared" si="221"/>
        <v>81764362294610.953</v>
      </c>
      <c r="M315" s="58">
        <f t="shared" si="222"/>
        <v>1878971459372495.7</v>
      </c>
      <c r="N315" s="59">
        <f t="shared" si="223"/>
        <v>8.4602368866328259</v>
      </c>
      <c r="O315" s="89">
        <v>1182</v>
      </c>
      <c r="P315" s="61"/>
      <c r="Q315" s="58">
        <f t="shared" si="224"/>
        <v>2062950661870.0168</v>
      </c>
      <c r="R315" s="6">
        <v>2340000000000</v>
      </c>
      <c r="S315" s="104">
        <f t="shared" si="225"/>
        <v>1.4017885849635061E-2</v>
      </c>
    </row>
    <row r="316" spans="4:58" ht="15.75">
      <c r="D316" s="59">
        <f t="shared" si="214"/>
        <v>0.81009257155844605</v>
      </c>
      <c r="E316" s="59">
        <f t="shared" si="215"/>
        <v>-9.1465350232642004E-2</v>
      </c>
      <c r="F316" s="59">
        <f t="shared" si="216"/>
        <v>-2.3840943112856205</v>
      </c>
      <c r="G316" s="58">
        <f t="shared" si="217"/>
        <v>6.2925867331395276E-3</v>
      </c>
      <c r="H316" s="59">
        <f t="shared" si="218"/>
        <v>-0.18292352159490449</v>
      </c>
      <c r="I316" s="59">
        <f t="shared" si="219"/>
        <v>1.1614733247380169</v>
      </c>
      <c r="J316" s="58">
        <f t="shared" si="220"/>
        <v>0.47424772487721328</v>
      </c>
      <c r="K316" s="58">
        <v>2.7539540976211519E-4</v>
      </c>
      <c r="L316" s="60">
        <f t="shared" si="221"/>
        <v>81903137512274.75</v>
      </c>
      <c r="M316" s="58">
        <f t="shared" si="222"/>
        <v>1871427693574946.2</v>
      </c>
      <c r="N316" s="59">
        <f t="shared" si="223"/>
        <v>8.4317032040472171</v>
      </c>
      <c r="O316" s="89">
        <v>1186</v>
      </c>
      <c r="P316" s="61"/>
      <c r="Q316" s="58">
        <f t="shared" si="224"/>
        <v>414896838602.8576</v>
      </c>
      <c r="R316" s="6">
        <v>408000000000</v>
      </c>
      <c r="S316" s="104">
        <f t="shared" si="225"/>
        <v>2.8574576313116856E-4</v>
      </c>
    </row>
    <row r="317" spans="4:58" ht="15.75">
      <c r="D317" s="59">
        <f t="shared" si="214"/>
        <v>0.81222557966271536</v>
      </c>
      <c r="E317" s="59">
        <f t="shared" si="215"/>
        <v>-9.0323337264803322E-2</v>
      </c>
      <c r="F317" s="59">
        <f t="shared" si="216"/>
        <v>-2.4110794000689406</v>
      </c>
      <c r="G317" s="58">
        <f t="shared" si="217"/>
        <v>5.9134934693218684E-3</v>
      </c>
      <c r="H317" s="59">
        <f t="shared" si="218"/>
        <v>-0.18292352159490449</v>
      </c>
      <c r="I317" s="59">
        <f t="shared" si="219"/>
        <v>1.1614733247380169</v>
      </c>
      <c r="J317" s="58">
        <f t="shared" si="220"/>
        <v>0.47424772487721328</v>
      </c>
      <c r="K317" s="58">
        <v>2.5954380830192712E-4</v>
      </c>
      <c r="L317" s="60">
        <f t="shared" si="221"/>
        <v>81972473497796.375</v>
      </c>
      <c r="M317" s="58">
        <f t="shared" si="222"/>
        <v>1867675788009848.5</v>
      </c>
      <c r="N317" s="59">
        <f t="shared" si="223"/>
        <v>8.4175084175084169</v>
      </c>
      <c r="O317" s="89">
        <v>1188</v>
      </c>
      <c r="P317" s="61"/>
      <c r="Q317" s="58">
        <f t="shared" si="224"/>
        <v>391406641295.22272</v>
      </c>
      <c r="R317" s="6">
        <v>377000000000</v>
      </c>
      <c r="S317" s="104">
        <f t="shared" si="225"/>
        <v>1.4603023549677862E-3</v>
      </c>
    </row>
    <row r="318" spans="4:58" ht="15.75">
      <c r="D318" s="59">
        <f t="shared" si="214"/>
        <v>0.73123147056695881</v>
      </c>
      <c r="E318" s="59">
        <f t="shared" si="215"/>
        <v>-0.13594512580888146</v>
      </c>
      <c r="F318" s="59">
        <f t="shared" si="216"/>
        <v>-1.6353068355174341</v>
      </c>
      <c r="G318" s="58">
        <f t="shared" si="217"/>
        <v>3.5287158328714097E-2</v>
      </c>
      <c r="H318" s="59">
        <f t="shared" si="218"/>
        <v>-0.18292352159490449</v>
      </c>
      <c r="I318" s="59">
        <f t="shared" si="219"/>
        <v>1.1614733247380169</v>
      </c>
      <c r="J318" s="58">
        <f t="shared" si="220"/>
        <v>0.47424772487721328</v>
      </c>
      <c r="K318" s="58">
        <v>1.5553868349886598E-3</v>
      </c>
      <c r="L318" s="60">
        <f t="shared" si="221"/>
        <v>82076413078770.125</v>
      </c>
      <c r="M318" s="58">
        <f t="shared" si="222"/>
        <v>1862072712853210.2</v>
      </c>
      <c r="N318" s="59">
        <f t="shared" si="223"/>
        <v>8.3963056255247697</v>
      </c>
      <c r="O318" s="89">
        <v>1191</v>
      </c>
      <c r="P318" s="61"/>
      <c r="Q318" s="58">
        <f t="shared" si="224"/>
        <v>2045639503300.2888</v>
      </c>
      <c r="R318" s="6">
        <v>2140000000000</v>
      </c>
      <c r="S318" s="104">
        <f t="shared" si="225"/>
        <v>1.9442535019251036E-3</v>
      </c>
    </row>
    <row r="319" spans="4:58" ht="15.75">
      <c r="D319" s="59">
        <f t="shared" si="214"/>
        <v>0.75911191318483595</v>
      </c>
      <c r="E319" s="59">
        <f t="shared" si="215"/>
        <v>-0.11969419288482835</v>
      </c>
      <c r="F319" s="59">
        <f t="shared" si="216"/>
        <v>-1.8570990564410137</v>
      </c>
      <c r="G319" s="58">
        <f t="shared" si="217"/>
        <v>2.1175051007503266E-2</v>
      </c>
      <c r="H319" s="59">
        <f t="shared" si="218"/>
        <v>-0.18292352159490449</v>
      </c>
      <c r="I319" s="59">
        <f t="shared" si="219"/>
        <v>1.1614733247380169</v>
      </c>
      <c r="J319" s="58">
        <f t="shared" si="220"/>
        <v>0.47424772487721328</v>
      </c>
      <c r="K319" s="58">
        <v>9.4801178334401369E-4</v>
      </c>
      <c r="L319" s="60">
        <f t="shared" si="221"/>
        <v>82456866132649.703</v>
      </c>
      <c r="M319" s="58">
        <f t="shared" si="222"/>
        <v>1841779160295657.2</v>
      </c>
      <c r="N319" s="59">
        <f t="shared" si="223"/>
        <v>8.3194675540765388</v>
      </c>
      <c r="O319" s="89">
        <v>1202</v>
      </c>
      <c r="P319" s="61"/>
      <c r="Q319" s="58">
        <f t="shared" si="224"/>
        <v>1297946828127.219</v>
      </c>
      <c r="R319" s="6">
        <v>1170000000000</v>
      </c>
      <c r="S319" s="104">
        <f t="shared" si="225"/>
        <v>1.1958792335317494E-2</v>
      </c>
    </row>
    <row r="320" spans="4:58" ht="15.75">
      <c r="D320" s="59">
        <f t="shared" si="214"/>
        <v>0.77517558770350325</v>
      </c>
      <c r="E320" s="59">
        <f t="shared" si="215"/>
        <v>-0.11059991280533236</v>
      </c>
      <c r="F320" s="59">
        <f t="shared" si="216"/>
        <v>-2.0028095631283747</v>
      </c>
      <c r="G320" s="58">
        <f t="shared" si="217"/>
        <v>1.5139584576058922E-2</v>
      </c>
      <c r="H320" s="59">
        <f t="shared" si="218"/>
        <v>-0.18292352159490449</v>
      </c>
      <c r="I320" s="59">
        <f t="shared" si="219"/>
        <v>1.1614733247380169</v>
      </c>
      <c r="J320" s="58">
        <f t="shared" si="220"/>
        <v>0.47424772487721328</v>
      </c>
      <c r="K320" s="58">
        <v>6.7875926013688417E-4</v>
      </c>
      <c r="L320" s="60">
        <f t="shared" si="221"/>
        <v>82491401618577.031</v>
      </c>
      <c r="M320" s="58">
        <f t="shared" si="222"/>
        <v>1839953610872624</v>
      </c>
      <c r="N320" s="59">
        <f t="shared" si="223"/>
        <v>8.3125519534497094</v>
      </c>
      <c r="O320" s="89">
        <v>1203</v>
      </c>
      <c r="P320" s="61"/>
      <c r="Q320" s="58">
        <f t="shared" si="224"/>
        <v>953667462235.61304</v>
      </c>
      <c r="R320" s="6">
        <v>902000000000</v>
      </c>
      <c r="S320" s="104">
        <f t="shared" si="225"/>
        <v>3.2811129909249455E-3</v>
      </c>
    </row>
    <row r="321" spans="1:19" ht="15.75">
      <c r="D321" s="59">
        <f t="shared" si="214"/>
        <v>0.76027232305717329</v>
      </c>
      <c r="E321" s="59">
        <f t="shared" si="215"/>
        <v>-0.11903081927561655</v>
      </c>
      <c r="F321" s="59">
        <f t="shared" si="216"/>
        <v>-1.8671307049830042</v>
      </c>
      <c r="G321" s="58">
        <f t="shared" si="217"/>
        <v>2.0691540081087881E-2</v>
      </c>
      <c r="H321" s="59">
        <f t="shared" si="218"/>
        <v>-0.18292352159490449</v>
      </c>
      <c r="I321" s="59">
        <f t="shared" si="219"/>
        <v>1.1614733247380169</v>
      </c>
      <c r="J321" s="58">
        <f t="shared" si="220"/>
        <v>0.47424772487721328</v>
      </c>
      <c r="K321" s="58">
        <v>9.342231925086068E-4</v>
      </c>
      <c r="L321" s="60">
        <f t="shared" si="221"/>
        <v>82663951655718.766</v>
      </c>
      <c r="M321" s="58">
        <f t="shared" si="222"/>
        <v>1830873481477669.2</v>
      </c>
      <c r="N321" s="59">
        <f t="shared" si="223"/>
        <v>8.2781456953642376</v>
      </c>
      <c r="O321" s="89">
        <v>1208</v>
      </c>
      <c r="P321" s="61"/>
      <c r="Q321" s="58">
        <f t="shared" si="224"/>
        <v>1274041704864.2483</v>
      </c>
      <c r="R321" s="6">
        <v>1280000000000</v>
      </c>
      <c r="S321" s="104">
        <f t="shared" si="225"/>
        <v>2.1668262283155806E-5</v>
      </c>
    </row>
    <row r="322" spans="1:19" ht="15.75">
      <c r="D322" s="59">
        <f t="shared" si="214"/>
        <v>0.73488633672675585</v>
      </c>
      <c r="E322" s="59">
        <f t="shared" si="215"/>
        <v>-0.13377982710577502</v>
      </c>
      <c r="F322" s="59">
        <f t="shared" si="216"/>
        <v>-1.6624892504505635</v>
      </c>
      <c r="G322" s="58">
        <f t="shared" si="217"/>
        <v>3.3146240041313314E-2</v>
      </c>
      <c r="H322" s="59">
        <f t="shared" si="218"/>
        <v>-0.18292352159490449</v>
      </c>
      <c r="I322" s="59">
        <f t="shared" si="219"/>
        <v>1.1614733247380169</v>
      </c>
      <c r="J322" s="58">
        <f t="shared" si="220"/>
        <v>0.47424772487721328</v>
      </c>
      <c r="K322" s="58">
        <v>1.5070825816306031E-3</v>
      </c>
      <c r="L322" s="60">
        <f t="shared" si="221"/>
        <v>82836289905731.891</v>
      </c>
      <c r="M322" s="58">
        <f t="shared" si="222"/>
        <v>1821871994815611.5</v>
      </c>
      <c r="N322" s="59">
        <f t="shared" si="223"/>
        <v>8.2440230832646328</v>
      </c>
      <c r="O322" s="89">
        <v>1213</v>
      </c>
      <c r="P322" s="61"/>
      <c r="Q322" s="58">
        <f t="shared" si="224"/>
        <v>1953049649706.3457</v>
      </c>
      <c r="R322" s="6">
        <v>1650000000000</v>
      </c>
      <c r="S322" s="104">
        <f t="shared" si="225"/>
        <v>3.3733366459922434E-2</v>
      </c>
    </row>
    <row r="323" spans="1:19" ht="15.75">
      <c r="D323" s="59">
        <f t="shared" si="214"/>
        <v>0.80214769767471517</v>
      </c>
      <c r="E323" s="59">
        <f t="shared" si="215"/>
        <v>-9.574565867421074E-2</v>
      </c>
      <c r="F323" s="59">
        <f t="shared" si="216"/>
        <v>-2.2878426695980432</v>
      </c>
      <c r="G323" s="58">
        <f t="shared" si="217"/>
        <v>7.8538183443945322E-3</v>
      </c>
      <c r="H323" s="59">
        <f t="shared" si="218"/>
        <v>-0.18292352159490449</v>
      </c>
      <c r="I323" s="59">
        <f t="shared" si="219"/>
        <v>1.1614733247380169</v>
      </c>
      <c r="J323" s="58">
        <f t="shared" si="220"/>
        <v>0.47424772487721328</v>
      </c>
      <c r="K323" s="58">
        <v>3.5809522536729661E-4</v>
      </c>
      <c r="L323" s="60">
        <f t="shared" si="221"/>
        <v>82905166068163.266</v>
      </c>
      <c r="M323" s="58">
        <f t="shared" si="222"/>
        <v>1818293202438996.2</v>
      </c>
      <c r="N323" s="59">
        <f t="shared" si="223"/>
        <v>8.2304526748971192</v>
      </c>
      <c r="O323" s="89">
        <v>1215</v>
      </c>
      <c r="P323" s="61"/>
      <c r="Q323" s="58">
        <f t="shared" si="224"/>
        <v>518226051469.82806</v>
      </c>
      <c r="R323" s="6">
        <v>501000000000</v>
      </c>
      <c r="S323" s="104">
        <f t="shared" si="225"/>
        <v>1.1822138128579789E-3</v>
      </c>
    </row>
    <row r="324" spans="1:19" ht="15.75">
      <c r="D324" s="59">
        <f t="shared" si="214"/>
        <v>0.80380991466586327</v>
      </c>
      <c r="E324" s="59">
        <f t="shared" si="215"/>
        <v>-9.4846641266503773E-2</v>
      </c>
      <c r="F324" s="59">
        <f t="shared" si="216"/>
        <v>-2.3074488684244989</v>
      </c>
      <c r="G324" s="58">
        <f t="shared" si="217"/>
        <v>7.5071423873208079E-3</v>
      </c>
      <c r="H324" s="59">
        <f t="shared" si="218"/>
        <v>-0.18292352159490449</v>
      </c>
      <c r="I324" s="59">
        <f t="shared" si="219"/>
        <v>1.1614733247380169</v>
      </c>
      <c r="J324" s="58">
        <f t="shared" si="220"/>
        <v>0.47424772487721328</v>
      </c>
      <c r="K324" s="58">
        <v>3.4276709465961034E-4</v>
      </c>
      <c r="L324" s="60">
        <f t="shared" si="221"/>
        <v>82939591500272.844</v>
      </c>
      <c r="M324" s="58">
        <f t="shared" si="222"/>
        <v>1816508447396596</v>
      </c>
      <c r="N324" s="59">
        <f t="shared" si="223"/>
        <v>8.223684210526315</v>
      </c>
      <c r="O324" s="89">
        <v>1216</v>
      </c>
      <c r="P324" s="61"/>
      <c r="Q324" s="58">
        <f t="shared" si="224"/>
        <v>496754454616.68097</v>
      </c>
      <c r="R324" s="6">
        <v>467000000000</v>
      </c>
      <c r="S324" s="104">
        <f t="shared" si="225"/>
        <v>4.0594783301135199E-3</v>
      </c>
    </row>
    <row r="325" spans="1:19" ht="15.75">
      <c r="D325" s="59">
        <f t="shared" si="214"/>
        <v>0.77325479455518986</v>
      </c>
      <c r="E325" s="59">
        <f t="shared" si="215"/>
        <v>-0.11167737847977</v>
      </c>
      <c r="F325" s="59">
        <f t="shared" si="216"/>
        <v>-1.9845644307406594</v>
      </c>
      <c r="G325" s="58">
        <f t="shared" si="217"/>
        <v>1.5789162368834164E-2</v>
      </c>
      <c r="H325" s="59">
        <f t="shared" si="218"/>
        <v>-0.18292352159490449</v>
      </c>
      <c r="I325" s="59">
        <f t="shared" si="219"/>
        <v>1.1614733247380169</v>
      </c>
      <c r="J325" s="58">
        <f t="shared" si="220"/>
        <v>0.47424772487721328</v>
      </c>
      <c r="K325" s="58">
        <v>7.3203107493002352E-4</v>
      </c>
      <c r="L325" s="60">
        <f t="shared" si="221"/>
        <v>83317716478162.594</v>
      </c>
      <c r="M325" s="58">
        <f t="shared" si="222"/>
        <v>1797078018579952</v>
      </c>
      <c r="N325" s="59">
        <f t="shared" si="223"/>
        <v>8.1499592502037483</v>
      </c>
      <c r="O325" s="89">
        <v>1227</v>
      </c>
      <c r="P325" s="61"/>
      <c r="Q325" s="58">
        <f t="shared" si="224"/>
        <v>1001418236610.2609</v>
      </c>
      <c r="R325" s="6">
        <v>982000000000</v>
      </c>
      <c r="S325" s="104">
        <f t="shared" si="225"/>
        <v>3.9101786645575069E-4</v>
      </c>
    </row>
    <row r="326" spans="1:19" ht="15.75">
      <c r="D326" s="59">
        <f t="shared" ref="D326:D330" si="226">10^E326</f>
        <v>0.79916030937109739</v>
      </c>
      <c r="E326" s="59">
        <f t="shared" ref="E326:E330" si="227">LOG(J326)/(1+(F326/(I326-0.14*F326))^2)</f>
        <v>-9.7366093662404993E-2</v>
      </c>
      <c r="F326" s="59">
        <f t="shared" ref="F326:F330" si="228">LOG(G326)+H326</f>
        <v>-2.2532735706656237</v>
      </c>
      <c r="G326" s="58">
        <f t="shared" ref="G326:G330" si="229">M326*K326/L326</f>
        <v>8.5045228221999353E-3</v>
      </c>
      <c r="H326" s="59">
        <f t="shared" ref="H326:H330" si="230">-0.4-0.67*LOG(J326)</f>
        <v>-0.18292352159490449</v>
      </c>
      <c r="I326" s="59">
        <f t="shared" ref="I326:I330" si="231">0.75-1.27*LOG(J326)</f>
        <v>1.1614733247380169</v>
      </c>
      <c r="J326" s="58">
        <f t="shared" ref="J326:J330" si="232">(1-$B$10)*EXP(-O326/$B$11)+$B$10*EXP(-O326/$B$12)+EXP(-B$13/O326)</f>
        <v>0.47424772487721328</v>
      </c>
      <c r="K326" s="58">
        <v>3.9867683308676943E-4</v>
      </c>
      <c r="L326" s="60">
        <f t="shared" ref="L326:L330" si="233">B$4*O326^B$5*EXP(-B$6/1.987/O326)</f>
        <v>83592080559945.328</v>
      </c>
      <c r="M326" s="58">
        <f t="shared" ref="M326:M330" si="234">$B$7*O326^$B$8*EXP(-$B$9/1.987/O326)</f>
        <v>1783175489212601</v>
      </c>
      <c r="N326" s="59">
        <f t="shared" ref="N326:N330" si="235">10000/O326</f>
        <v>8.097165991902834</v>
      </c>
      <c r="O326" s="89">
        <v>1235</v>
      </c>
      <c r="P326" s="61"/>
      <c r="Q326" s="58">
        <f t="shared" ref="Q326:Q330" si="236">L326/(1+L326/M326/K326)*D326</f>
        <v>563340716421.76514</v>
      </c>
      <c r="R326" s="6">
        <v>496000000000</v>
      </c>
      <c r="S326" s="104">
        <f t="shared" ref="S326:S330" si="237">(R326-Q326)^2/R326^2</f>
        <v>1.8432833995336028E-2</v>
      </c>
    </row>
    <row r="327" spans="1:19" ht="15.75">
      <c r="D327" s="59">
        <f t="shared" si="226"/>
        <v>0.73966953027701787</v>
      </c>
      <c r="E327" s="59">
        <f t="shared" si="227"/>
        <v>-0.13096227112519379</v>
      </c>
      <c r="F327" s="59">
        <f t="shared" si="228"/>
        <v>-1.6988580722189313</v>
      </c>
      <c r="G327" s="58">
        <f t="shared" si="229"/>
        <v>3.0483543504199739E-2</v>
      </c>
      <c r="H327" s="59">
        <f t="shared" si="230"/>
        <v>-0.18292352159490449</v>
      </c>
      <c r="I327" s="59">
        <f t="shared" si="231"/>
        <v>1.1614733247380169</v>
      </c>
      <c r="J327" s="58">
        <f t="shared" si="232"/>
        <v>0.47424772487721328</v>
      </c>
      <c r="K327" s="58">
        <v>1.4487683715376299E-3</v>
      </c>
      <c r="L327" s="60">
        <f t="shared" si="233"/>
        <v>83934287634319.766</v>
      </c>
      <c r="M327" s="58">
        <f t="shared" si="234"/>
        <v>1766061821103432.2</v>
      </c>
      <c r="N327" s="59">
        <f t="shared" si="235"/>
        <v>8.0321285140562253</v>
      </c>
      <c r="O327" s="89">
        <v>1245</v>
      </c>
      <c r="P327" s="61"/>
      <c r="Q327" s="58">
        <f t="shared" si="236"/>
        <v>1836544798470.686</v>
      </c>
      <c r="R327" s="6">
        <v>1540000000000</v>
      </c>
      <c r="S327" s="104">
        <f t="shared" si="237"/>
        <v>3.7079953406990981E-2</v>
      </c>
    </row>
    <row r="328" spans="1:19" ht="15.75">
      <c r="D328" s="59">
        <f t="shared" si="226"/>
        <v>0.80330377755085847</v>
      </c>
      <c r="E328" s="59">
        <f t="shared" si="227"/>
        <v>-9.5120190753966799E-2</v>
      </c>
      <c r="F328" s="59">
        <f t="shared" si="228"/>
        <v>-2.3014501418376998</v>
      </c>
      <c r="G328" s="58">
        <f t="shared" si="229"/>
        <v>7.6115548226567695E-3</v>
      </c>
      <c r="H328" s="59">
        <f t="shared" si="230"/>
        <v>-0.18292352159490449</v>
      </c>
      <c r="I328" s="59">
        <f t="shared" si="231"/>
        <v>1.1614733247380169</v>
      </c>
      <c r="J328" s="58">
        <f t="shared" si="232"/>
        <v>0.47424772487721328</v>
      </c>
      <c r="K328" s="58">
        <v>3.7121049632616026E-4</v>
      </c>
      <c r="L328" s="60">
        <f t="shared" si="233"/>
        <v>84582210747944.609</v>
      </c>
      <c r="M328" s="58">
        <f t="shared" si="234"/>
        <v>1734331708023199.2</v>
      </c>
      <c r="N328" s="59">
        <f t="shared" si="235"/>
        <v>7.9113924050632916</v>
      </c>
      <c r="O328" s="89">
        <v>1264</v>
      </c>
      <c r="P328" s="61"/>
      <c r="Q328" s="58">
        <f t="shared" si="236"/>
        <v>513261964758.38007</v>
      </c>
      <c r="R328" s="6">
        <v>505000000000</v>
      </c>
      <c r="S328" s="104">
        <f t="shared" si="237"/>
        <v>2.6766027514445325E-4</v>
      </c>
    </row>
    <row r="329" spans="1:19" ht="15.75">
      <c r="D329" s="59">
        <f t="shared" si="226"/>
        <v>0.74234265695532797</v>
      </c>
      <c r="E329" s="59">
        <f t="shared" si="227"/>
        <v>-0.12939558303072288</v>
      </c>
      <c r="F329" s="59">
        <f t="shared" si="228"/>
        <v>-1.7195935365980246</v>
      </c>
      <c r="G329" s="58">
        <f t="shared" si="229"/>
        <v>2.9062300231962209E-2</v>
      </c>
      <c r="H329" s="59">
        <f t="shared" si="230"/>
        <v>-0.18292352159490449</v>
      </c>
      <c r="I329" s="59">
        <f t="shared" si="231"/>
        <v>1.1614733247380169</v>
      </c>
      <c r="J329" s="58">
        <f t="shared" si="232"/>
        <v>0.47424772487721328</v>
      </c>
      <c r="K329" s="58">
        <v>1.4173491677907937E-3</v>
      </c>
      <c r="L329" s="60">
        <f t="shared" si="233"/>
        <v>84582210747944.609</v>
      </c>
      <c r="M329" s="58">
        <f t="shared" si="234"/>
        <v>1734331708023199.2</v>
      </c>
      <c r="N329" s="59">
        <f t="shared" si="235"/>
        <v>7.9113924050632916</v>
      </c>
      <c r="O329" s="89">
        <v>1264</v>
      </c>
      <c r="P329" s="61"/>
      <c r="Q329" s="58">
        <f t="shared" si="236"/>
        <v>1773257339690.3174</v>
      </c>
      <c r="R329" s="6">
        <v>1490000000000</v>
      </c>
      <c r="S329" s="104">
        <f t="shared" si="237"/>
        <v>3.6140138051635448E-2</v>
      </c>
    </row>
    <row r="330" spans="1:19" ht="15.75">
      <c r="D330" s="59">
        <f t="shared" si="226"/>
        <v>0.80713900463987986</v>
      </c>
      <c r="E330" s="59">
        <f t="shared" si="227"/>
        <v>-9.3051665092772684E-2</v>
      </c>
      <c r="F330" s="59">
        <f t="shared" si="228"/>
        <v>-2.347548634180654</v>
      </c>
      <c r="G330" s="58">
        <f t="shared" si="229"/>
        <v>6.8450226164733161E-3</v>
      </c>
      <c r="H330" s="59">
        <f t="shared" si="230"/>
        <v>-0.18292352159490449</v>
      </c>
      <c r="I330" s="59">
        <f t="shared" si="231"/>
        <v>1.1614733247380169</v>
      </c>
      <c r="J330" s="58">
        <f t="shared" si="232"/>
        <v>0.47424772487721328</v>
      </c>
      <c r="K330" s="58">
        <v>3.5812264407868166E-4</v>
      </c>
      <c r="L330" s="60">
        <f t="shared" si="233"/>
        <v>86374146992233.531</v>
      </c>
      <c r="M330" s="58">
        <f t="shared" si="234"/>
        <v>1650923222577715</v>
      </c>
      <c r="N330" s="59">
        <f t="shared" si="235"/>
        <v>7.5930144267274109</v>
      </c>
      <c r="O330" s="89">
        <v>1317</v>
      </c>
      <c r="P330" s="61"/>
      <c r="Q330" s="58">
        <f t="shared" si="236"/>
        <v>473962919862.80585</v>
      </c>
      <c r="R330" s="6">
        <v>479000000000</v>
      </c>
      <c r="S330" s="104">
        <f t="shared" si="237"/>
        <v>1.1058257377066812E-4</v>
      </c>
    </row>
    <row r="331" spans="1:19" ht="15.75">
      <c r="D331" s="59"/>
      <c r="E331" s="59"/>
      <c r="F331" s="59"/>
      <c r="G331" s="58"/>
      <c r="H331" s="59"/>
      <c r="I331" s="59"/>
      <c r="J331" s="58"/>
      <c r="K331" s="58"/>
      <c r="L331" s="60"/>
      <c r="M331" s="58"/>
      <c r="N331" s="59"/>
      <c r="O331" s="24"/>
      <c r="P331" s="61"/>
      <c r="Q331" s="58"/>
      <c r="R331" s="20"/>
      <c r="S331" s="104"/>
    </row>
    <row r="332" spans="1:19" ht="15.75">
      <c r="D332" s="59"/>
      <c r="E332" s="59"/>
      <c r="F332" s="59"/>
      <c r="G332" s="58"/>
      <c r="H332" s="59"/>
      <c r="I332" s="59"/>
      <c r="J332" s="58"/>
      <c r="K332" s="58"/>
      <c r="L332" s="60"/>
      <c r="M332" s="58"/>
      <c r="N332" s="59"/>
      <c r="O332" s="24"/>
      <c r="P332" s="61"/>
      <c r="Q332" s="58"/>
      <c r="R332" s="20"/>
      <c r="S332" s="104"/>
    </row>
    <row r="333" spans="1:19" ht="15.75">
      <c r="D333" s="59"/>
      <c r="E333" s="59"/>
      <c r="F333" s="59"/>
      <c r="G333" s="58"/>
      <c r="H333" s="59"/>
      <c r="I333" s="59"/>
      <c r="J333" s="58"/>
      <c r="K333" s="58"/>
      <c r="L333" s="60"/>
      <c r="M333" s="58"/>
      <c r="N333" s="59"/>
      <c r="O333" s="24"/>
      <c r="P333" s="61"/>
      <c r="Q333" s="58"/>
      <c r="R333" s="20"/>
      <c r="S333" s="104"/>
    </row>
    <row r="334" spans="1:19">
      <c r="A334" t="s">
        <v>72</v>
      </c>
      <c r="B334" t="s">
        <v>73</v>
      </c>
      <c r="C334" t="s">
        <v>74</v>
      </c>
    </row>
    <row r="335" spans="1:19">
      <c r="A335" s="33" t="s">
        <v>71</v>
      </c>
      <c r="B335" s="33" t="s">
        <v>71</v>
      </c>
      <c r="L335" t="s">
        <v>67</v>
      </c>
    </row>
    <row r="336" spans="1:19">
      <c r="A336">
        <f>E360/C336*6.02E+23</f>
        <v>3.2943646937180096E+16</v>
      </c>
      <c r="B336">
        <f>D360/C336*6.02E+23</f>
        <v>1.6471823468590048E+16</v>
      </c>
      <c r="C336">
        <f t="shared" ref="C336:C346" si="238">2.209E+24*I360^0.1879*EXP(-59608.8/I360)</f>
        <v>0.10474246805400196</v>
      </c>
    </row>
    <row r="337" spans="1:15">
      <c r="A337">
        <f>E361/C337*6.02E+23</f>
        <v>2.624909640240328E+16</v>
      </c>
      <c r="B337">
        <f>D361/C337*6.02E+23</f>
        <v>1.312454820120164E+16</v>
      </c>
      <c r="C337">
        <f t="shared" si="238"/>
        <v>24.062147778948127</v>
      </c>
      <c r="J337">
        <f>10^K337</f>
        <v>294.75382337064298</v>
      </c>
      <c r="K337">
        <v>2.4694594472124298</v>
      </c>
      <c r="L337" s="6">
        <v>2.1679860758563099E-32</v>
      </c>
      <c r="M337" s="6">
        <f>L337*6.02E+23*6.02E+23</f>
        <v>7856868258346301</v>
      </c>
      <c r="N337" s="6">
        <f>250/760*101325/8.314/J337/1000000</f>
        <v>1.3601085209071968E-5</v>
      </c>
      <c r="O337" s="6">
        <f>M337*N337</f>
        <v>106861934658.22092</v>
      </c>
    </row>
    <row r="338" spans="1:15">
      <c r="A338">
        <f>E362/C338*6.02E+23</f>
        <v>2.1153174288957696E+16</v>
      </c>
      <c r="B338">
        <f>D362/C338*6.02E+23</f>
        <v>1.0576587144478848E+16</v>
      </c>
      <c r="C338">
        <f t="shared" si="238"/>
        <v>2236.8135141107168</v>
      </c>
      <c r="J338">
        <f t="shared" ref="J338:J355" si="239">10^K338</f>
        <v>481.2363222904853</v>
      </c>
      <c r="K338">
        <v>2.6823583991644901</v>
      </c>
      <c r="L338" s="6">
        <v>1.34319807882026E-32</v>
      </c>
      <c r="M338" s="6">
        <f t="shared" ref="M338:M355" si="240">L338*6.02E+23*6.02E+23</f>
        <v>4867803565567775</v>
      </c>
      <c r="N338" s="6">
        <f t="shared" ref="N338:N355" si="241">250/760*101325/8.314/J338/1000000</f>
        <v>8.3305679178222038E-6</v>
      </c>
      <c r="O338" s="6">
        <f t="shared" ref="O338:O355" si="242">M338*N338</f>
        <v>40551568213.579437</v>
      </c>
    </row>
    <row r="339" spans="1:15">
      <c r="A339" s="24">
        <f>E363/C339*6.02E+23</f>
        <v>1.7230935256704816E+16</v>
      </c>
      <c r="B339" s="24">
        <f>D363/C339*6.02E+23</f>
        <v>8615467628352408</v>
      </c>
      <c r="C339" s="24">
        <f t="shared" si="238"/>
        <v>103665.48892598988</v>
      </c>
      <c r="J339">
        <f t="shared" si="239"/>
        <v>485.70620371080264</v>
      </c>
      <c r="K339">
        <v>2.68637365056005</v>
      </c>
      <c r="L339" s="6">
        <v>1.22839176984986E-32</v>
      </c>
      <c r="M339" s="6">
        <f t="shared" si="240"/>
        <v>4451740909606686.5</v>
      </c>
      <c r="N339" s="6">
        <f t="shared" si="241"/>
        <v>8.2539029494275732E-6</v>
      </c>
      <c r="O339" s="6">
        <f t="shared" si="242"/>
        <v>36744237423.890015</v>
      </c>
    </row>
    <row r="340" spans="1:15">
      <c r="A340">
        <f>E364/C340*6.02E+23</f>
        <v>1.4177867405296868E+16</v>
      </c>
      <c r="B340">
        <f>D364/C340*6.02E+23</f>
        <v>7088933702648434</v>
      </c>
      <c r="C340">
        <f t="shared" si="238"/>
        <v>2780268.9365740279</v>
      </c>
      <c r="J340">
        <f t="shared" si="239"/>
        <v>507.6398550111478</v>
      </c>
      <c r="K340">
        <v>2.7055557113973299</v>
      </c>
      <c r="L340" s="6">
        <v>1.13578283199411E-32</v>
      </c>
      <c r="M340" s="6">
        <f t="shared" si="240"/>
        <v>4116122414459934.5</v>
      </c>
      <c r="N340" s="6">
        <f t="shared" si="241"/>
        <v>7.8972756527870062E-6</v>
      </c>
      <c r="O340" s="6">
        <f t="shared" si="242"/>
        <v>32506153327.605309</v>
      </c>
    </row>
    <row r="341" spans="1:15">
      <c r="A341">
        <f>E365/C341*6.02E+23</f>
        <v>1.1775136943186844E+16</v>
      </c>
      <c r="B341">
        <f>D365/C341*6.02E+23</f>
        <v>5887568471593422</v>
      </c>
      <c r="C341">
        <f t="shared" si="238"/>
        <v>48135777.186048426</v>
      </c>
      <c r="J341">
        <f t="shared" si="239"/>
        <v>522.30199474515166</v>
      </c>
      <c r="K341">
        <v>2.7179216844721799</v>
      </c>
      <c r="L341" s="6">
        <v>1.17702837174354E-32</v>
      </c>
      <c r="M341" s="6">
        <f t="shared" si="240"/>
        <v>4265597900333459</v>
      </c>
      <c r="N341" s="6">
        <f t="shared" si="241"/>
        <v>7.6755821492123014E-6</v>
      </c>
      <c r="O341" s="6">
        <f t="shared" si="242"/>
        <v>32740947099.516972</v>
      </c>
    </row>
    <row r="342" spans="1:15">
      <c r="A342">
        <f>E366/C342*6.02E+23</f>
        <v>9864322959250328</v>
      </c>
      <c r="B342">
        <f>D366/C342*6.02E+23</f>
        <v>4932161479625164</v>
      </c>
      <c r="C342">
        <f t="shared" si="238"/>
        <v>583971685.07185447</v>
      </c>
      <c r="J342">
        <f t="shared" si="239"/>
        <v>543.88647745933167</v>
      </c>
      <c r="K342">
        <v>2.73550826117259</v>
      </c>
      <c r="L342" s="6">
        <v>1.0827723952041501E-32</v>
      </c>
      <c r="M342" s="6">
        <f t="shared" si="240"/>
        <v>3924010471115648</v>
      </c>
      <c r="N342" s="6">
        <f t="shared" si="241"/>
        <v>7.3709717625101799E-6</v>
      </c>
      <c r="O342" s="6">
        <f t="shared" si="242"/>
        <v>28923770378.387711</v>
      </c>
    </row>
    <row r="343" spans="1:15">
      <c r="A343">
        <f>E367/C343*6.02E+23</f>
        <v>8329652158102268</v>
      </c>
      <c r="B343">
        <f>D367/C343*6.02E+23</f>
        <v>4164826079051134</v>
      </c>
      <c r="C343">
        <f t="shared" si="238"/>
        <v>5285612912.2632542</v>
      </c>
      <c r="J343">
        <f t="shared" si="239"/>
        <v>552.51461352792978</v>
      </c>
      <c r="K343">
        <v>2.74234376921798</v>
      </c>
      <c r="L343" s="6">
        <v>8.9654495824825604E-33</v>
      </c>
      <c r="M343" s="6">
        <f t="shared" si="240"/>
        <v>3249114790490009.5</v>
      </c>
      <c r="N343" s="6">
        <f t="shared" si="241"/>
        <v>7.2558657621120256E-6</v>
      </c>
      <c r="O343" s="6">
        <f t="shared" si="242"/>
        <v>23575140765.488247</v>
      </c>
    </row>
    <row r="344" spans="1:15">
      <c r="A344">
        <f>E368/C344*6.02E+23</f>
        <v>7085641712419126</v>
      </c>
      <c r="B344">
        <f>D368/C344*6.02E+23</f>
        <v>3542820856209563</v>
      </c>
      <c r="C344">
        <f t="shared" si="238"/>
        <v>37477046438.803253</v>
      </c>
      <c r="J344">
        <f t="shared" si="239"/>
        <v>574.24128209163018</v>
      </c>
      <c r="K344">
        <v>2.7590944106267701</v>
      </c>
      <c r="L344" s="6">
        <v>9.5279818229003003E-33</v>
      </c>
      <c r="M344" s="6">
        <f t="shared" si="240"/>
        <v>3452978724546360</v>
      </c>
      <c r="N344" s="6">
        <f t="shared" si="241"/>
        <v>6.9813369264597075E-6</v>
      </c>
      <c r="O344" s="6">
        <f t="shared" si="242"/>
        <v>24106407875.955246</v>
      </c>
    </row>
    <row r="345" spans="1:15">
      <c r="A345">
        <f>E369/C345*6.02E+23</f>
        <v>6068506870349318</v>
      </c>
      <c r="B345">
        <f>D369/C345*6.02E+23</f>
        <v>3034253435174659</v>
      </c>
      <c r="C345">
        <f t="shared" si="238"/>
        <v>216336539820.83304</v>
      </c>
      <c r="J345">
        <f t="shared" si="239"/>
        <v>586.53161341510668</v>
      </c>
      <c r="K345">
        <v>2.7682914250819399</v>
      </c>
      <c r="L345" s="6">
        <v>8.9809052214429003E-33</v>
      </c>
      <c r="M345" s="6">
        <f t="shared" si="240"/>
        <v>3254715975871793</v>
      </c>
      <c r="N345" s="6">
        <f t="shared" si="241"/>
        <v>6.8350482321344015E-6</v>
      </c>
      <c r="O345" s="6">
        <f t="shared" si="242"/>
        <v>22246140676.982094</v>
      </c>
    </row>
    <row r="346" spans="1:15">
      <c r="A346">
        <f>E370/C346*6.02E+23</f>
        <v>5230156848378372</v>
      </c>
      <c r="B346">
        <f>D370/C346*6.02E+23</f>
        <v>2615078424189186</v>
      </c>
      <c r="C346">
        <f t="shared" si="238"/>
        <v>1048510528203.5049</v>
      </c>
      <c r="J346">
        <f t="shared" si="239"/>
        <v>604.59902117949275</v>
      </c>
      <c r="K346">
        <v>2.7814674397377801</v>
      </c>
      <c r="L346" s="6">
        <v>8.8997055461245696E-33</v>
      </c>
      <c r="M346" s="6">
        <f t="shared" si="240"/>
        <v>3225288888737728.5</v>
      </c>
      <c r="N346" s="6">
        <f t="shared" si="241"/>
        <v>6.6307945049975266E-6</v>
      </c>
      <c r="O346" s="6">
        <f t="shared" si="242"/>
        <v>21386227840.47171</v>
      </c>
    </row>
    <row r="347" spans="1:15">
      <c r="J347">
        <f t="shared" si="239"/>
        <v>619.20002592338699</v>
      </c>
      <c r="K347">
        <v>2.7918309658569802</v>
      </c>
      <c r="L347" s="6">
        <v>9.4541034930748597E-33</v>
      </c>
      <c r="M347" s="6">
        <f t="shared" si="240"/>
        <v>3426204922304301.5</v>
      </c>
      <c r="N347" s="6">
        <f t="shared" si="241"/>
        <v>6.4744374992320972E-6</v>
      </c>
      <c r="O347" s="6">
        <f t="shared" si="242"/>
        <v>22182749629.020565</v>
      </c>
    </row>
    <row r="348" spans="1:15">
      <c r="J348">
        <f t="shared" si="239"/>
        <v>620.28390839285669</v>
      </c>
      <c r="K348">
        <v>2.7925905147022299</v>
      </c>
      <c r="L348" s="6">
        <v>1.09775927191305E-32</v>
      </c>
      <c r="M348" s="6">
        <f t="shared" si="240"/>
        <v>3978323511783769.5</v>
      </c>
      <c r="N348" s="6">
        <f t="shared" si="241"/>
        <v>6.4631240841811131E-6</v>
      </c>
      <c r="O348" s="6">
        <f t="shared" si="242"/>
        <v>25712398503.673664</v>
      </c>
    </row>
    <row r="349" spans="1:15">
      <c r="J349">
        <f t="shared" si="239"/>
        <v>641.78064076975375</v>
      </c>
      <c r="K349">
        <v>2.8073866125200402</v>
      </c>
      <c r="L349" s="6">
        <v>9.9469612221715106E-33</v>
      </c>
      <c r="M349" s="6">
        <f t="shared" si="240"/>
        <v>3604818534759844</v>
      </c>
      <c r="N349" s="6">
        <f t="shared" si="241"/>
        <v>6.2466388243738395E-6</v>
      </c>
      <c r="O349" s="6">
        <f t="shared" si="242"/>
        <v>22517999414.053257</v>
      </c>
    </row>
    <row r="350" spans="1:15">
      <c r="J350">
        <f t="shared" si="239"/>
        <v>656.68157024116533</v>
      </c>
      <c r="K350">
        <v>2.8173548279902301</v>
      </c>
      <c r="L350" s="6">
        <v>1.04096770534126E-32</v>
      </c>
      <c r="M350" s="6">
        <f t="shared" si="240"/>
        <v>3772508602864940</v>
      </c>
      <c r="N350" s="6">
        <f t="shared" si="241"/>
        <v>6.1048947450917105E-6</v>
      </c>
      <c r="O350" s="6">
        <f t="shared" si="242"/>
        <v>23030767945.443443</v>
      </c>
    </row>
    <row r="351" spans="1:15">
      <c r="J351">
        <f t="shared" si="239"/>
        <v>706.79001328679431</v>
      </c>
      <c r="K351">
        <v>2.8492904044381802</v>
      </c>
      <c r="L351" s="6">
        <v>1.0431768040317599E-32</v>
      </c>
      <c r="M351" s="6">
        <f t="shared" si="240"/>
        <v>3780514464883259.5</v>
      </c>
      <c r="N351" s="6">
        <f t="shared" si="241"/>
        <v>5.6720833514906249E-6</v>
      </c>
      <c r="O351" s="6">
        <f t="shared" si="242"/>
        <v>21443393156.333824</v>
      </c>
    </row>
    <row r="352" spans="1:15">
      <c r="J352">
        <f t="shared" si="239"/>
        <v>680.69194267067974</v>
      </c>
      <c r="K352">
        <v>2.8329506099047701</v>
      </c>
      <c r="L352" s="6">
        <v>9.3860196485809606E-33</v>
      </c>
      <c r="M352" s="6">
        <f t="shared" si="240"/>
        <v>3401531064724334</v>
      </c>
      <c r="N352" s="6">
        <f t="shared" si="241"/>
        <v>5.8895538731290855E-6</v>
      </c>
      <c r="O352" s="6">
        <f t="shared" si="242"/>
        <v>20033500456.816105</v>
      </c>
    </row>
    <row r="353" spans="4:19">
      <c r="J353">
        <f t="shared" si="239"/>
        <v>712.10627428250189</v>
      </c>
      <c r="K353">
        <v>2.85254481230296</v>
      </c>
      <c r="L353" s="6">
        <v>8.2571489851290501E-33</v>
      </c>
      <c r="M353" s="6">
        <f t="shared" si="240"/>
        <v>2992423820806708.5</v>
      </c>
      <c r="N353" s="6">
        <f t="shared" si="241"/>
        <v>5.6297381614888739E-6</v>
      </c>
      <c r="O353" s="6">
        <f t="shared" si="242"/>
        <v>16846562579.34387</v>
      </c>
    </row>
    <row r="354" spans="4:19">
      <c r="J354">
        <f t="shared" si="239"/>
        <v>695.29791762103264</v>
      </c>
      <c r="K354">
        <v>2.84217092869951</v>
      </c>
      <c r="L354" s="6">
        <v>8.0887684820428203E-33</v>
      </c>
      <c r="M354" s="6">
        <f t="shared" si="240"/>
        <v>2931402052966246</v>
      </c>
      <c r="N354" s="6">
        <f t="shared" si="241"/>
        <v>5.7658332719887797E-6</v>
      </c>
      <c r="O354" s="6">
        <f t="shared" si="242"/>
        <v>16901975490.568996</v>
      </c>
    </row>
    <row r="355" spans="4:19">
      <c r="J355">
        <f t="shared" si="239"/>
        <v>691.56043253597977</v>
      </c>
      <c r="K355">
        <v>2.83983013725824</v>
      </c>
      <c r="L355" s="6">
        <v>6.56151478964912E-33</v>
      </c>
      <c r="M355" s="6">
        <f t="shared" si="240"/>
        <v>2377919205827999.5</v>
      </c>
      <c r="N355" s="6">
        <f t="shared" si="241"/>
        <v>5.7969942737510349E-6</v>
      </c>
      <c r="O355" s="6">
        <f t="shared" si="242"/>
        <v>13784784019.627522</v>
      </c>
    </row>
    <row r="358" spans="4:19">
      <c r="D358" t="s">
        <v>73</v>
      </c>
      <c r="E358" t="s">
        <v>72</v>
      </c>
      <c r="F358" s="33" t="s">
        <v>63</v>
      </c>
      <c r="G358" t="s">
        <v>63</v>
      </c>
      <c r="H358" s="33" t="s">
        <v>63</v>
      </c>
      <c r="I358" s="33"/>
      <c r="J358" s="33" t="s">
        <v>64</v>
      </c>
      <c r="L358" s="33" t="s">
        <v>64</v>
      </c>
      <c r="N358" t="s">
        <v>72</v>
      </c>
      <c r="O358" t="s">
        <v>73</v>
      </c>
      <c r="Q358" s="24"/>
      <c r="R358" s="24"/>
      <c r="S358" s="24"/>
    </row>
    <row r="359" spans="4:19">
      <c r="D359" s="33" t="s">
        <v>75</v>
      </c>
      <c r="E359" s="33" t="s">
        <v>75</v>
      </c>
      <c r="F359" t="s">
        <v>68</v>
      </c>
      <c r="G359" t="s">
        <v>69</v>
      </c>
      <c r="H359" s="33" t="s">
        <v>62</v>
      </c>
      <c r="J359" s="33" t="s">
        <v>62</v>
      </c>
      <c r="L359" s="33" t="s">
        <v>68</v>
      </c>
      <c r="M359" t="s">
        <v>70</v>
      </c>
      <c r="N359" s="33" t="s">
        <v>71</v>
      </c>
    </row>
    <row r="360" spans="4:19">
      <c r="D360">
        <f>6.06E+27*I360^(-3.31)*EXP(-120770*4.184/8.314/I360)</f>
        <v>2.865945919352081E-9</v>
      </c>
      <c r="E360">
        <f>D360*2</f>
        <v>5.7318918387041621E-9</v>
      </c>
      <c r="F360">
        <f t="shared" ref="F360:F370" si="243">70000000000000*EXP(-300/1.98726/I360)</f>
        <v>60191648682950.742</v>
      </c>
      <c r="G360">
        <f t="shared" ref="G360:G370" si="244">3660000*I360^2.087*EXP(1450*4.184/8.314/I360)</f>
        <v>13848082583017.613</v>
      </c>
      <c r="H360" s="33">
        <f t="shared" ref="H360:H370" si="245">112000000000000*EXP(-7805/I360)</f>
        <v>45661438731.623596</v>
      </c>
      <c r="I360" s="33">
        <v>1000</v>
      </c>
      <c r="J360" s="33">
        <f>83000000000000*EXP(-14413/1.98726/I360)</f>
        <v>58785556660.649948</v>
      </c>
      <c r="K360" s="33">
        <f t="shared" ref="K360:K370" si="246">J360/H360</f>
        <v>1.2874223479063751</v>
      </c>
      <c r="L360">
        <f>134000000000000*EXP(-635/1.98726/I360)</f>
        <v>97349184928375.844</v>
      </c>
      <c r="M360">
        <f>28300000000000*EXP(-1068/1.98726/I360)</f>
        <v>16534323256809.32</v>
      </c>
      <c r="N360">
        <f>2.2E+22*I360^(-2)</f>
        <v>2.2E+16</v>
      </c>
      <c r="O360">
        <f>N360*0.38</f>
        <v>8360000000000000</v>
      </c>
      <c r="Q360" s="24"/>
      <c r="R360" s="24"/>
      <c r="S360" s="24"/>
    </row>
    <row r="361" spans="4:19">
      <c r="D361">
        <f t="shared" ref="D361:D370" si="247">6.06E+27*I361^(-3.31)*EXP(-120770*4.184/8.314/I361)</f>
        <v>5.2459272151036825E-7</v>
      </c>
      <c r="E361">
        <f t="shared" ref="E361:E370" si="248">D361*2</f>
        <v>1.0491854430207365E-6</v>
      </c>
      <c r="F361">
        <f t="shared" si="243"/>
        <v>61023400211349.367</v>
      </c>
      <c r="G361">
        <f t="shared" si="244"/>
        <v>15811253789780.594</v>
      </c>
      <c r="H361" s="33">
        <f t="shared" si="245"/>
        <v>92832760936.225571</v>
      </c>
      <c r="I361" s="33">
        <v>1100</v>
      </c>
      <c r="J361" s="33">
        <f t="shared" ref="J361:J370" si="249">83000000000000*EXP(-14413/1.98726/I361)</f>
        <v>113662385741.24643</v>
      </c>
      <c r="K361" s="33">
        <f t="shared" si="246"/>
        <v>1.2243779522977931</v>
      </c>
      <c r="L361">
        <f t="shared" ref="L361:L370" si="250">134000000000000*EXP(-635/1.98726/I361)</f>
        <v>100218523378840.78</v>
      </c>
      <c r="M361">
        <f t="shared" ref="M361:M370" si="251">28300000000000*EXP(-1068/1.98726/I361)</f>
        <v>17362194095183.996</v>
      </c>
      <c r="N361">
        <f t="shared" ref="N361:N370" si="252">2.2E+22*I361^(-2)</f>
        <v>1.818181818181818E+16</v>
      </c>
      <c r="O361">
        <f t="shared" ref="O361:O370" si="253">N361*0.38</f>
        <v>6909090909090908</v>
      </c>
      <c r="P361" s="24"/>
    </row>
    <row r="362" spans="4:19">
      <c r="D362">
        <f t="shared" si="247"/>
        <v>3.9298759232458413E-5</v>
      </c>
      <c r="E362">
        <f t="shared" si="248"/>
        <v>7.8597518464916825E-5</v>
      </c>
      <c r="F362">
        <f t="shared" si="243"/>
        <v>61725299502100.617</v>
      </c>
      <c r="G362">
        <f t="shared" si="244"/>
        <v>17940015422501.109</v>
      </c>
      <c r="H362" s="33">
        <f t="shared" si="245"/>
        <v>167685044305.76447</v>
      </c>
      <c r="I362" s="33">
        <v>1200</v>
      </c>
      <c r="J362" s="33">
        <f t="shared" si="249"/>
        <v>196896748599.10428</v>
      </c>
      <c r="K362" s="33">
        <f t="shared" si="246"/>
        <v>1.1742057821213554</v>
      </c>
      <c r="L362">
        <f t="shared" si="250"/>
        <v>102674138164411.27</v>
      </c>
      <c r="M362">
        <f t="shared" si="251"/>
        <v>18083663871071.367</v>
      </c>
      <c r="N362">
        <f t="shared" si="252"/>
        <v>1.5277777777777778E+16</v>
      </c>
      <c r="O362">
        <f t="shared" si="253"/>
        <v>5805555555555556</v>
      </c>
    </row>
    <row r="363" spans="4:19">
      <c r="D363" s="24">
        <f t="shared" si="247"/>
        <v>1.48359910966643E-3</v>
      </c>
      <c r="E363" s="24">
        <f t="shared" si="248"/>
        <v>2.9671982193328599E-3</v>
      </c>
      <c r="F363" s="24">
        <f t="shared" si="243"/>
        <v>62325516382832.43</v>
      </c>
      <c r="G363" s="24">
        <f t="shared" si="244"/>
        <v>20232832052572.172</v>
      </c>
      <c r="H363" s="32">
        <f t="shared" si="245"/>
        <v>276554524392.35199</v>
      </c>
      <c r="I363" s="32">
        <v>1300</v>
      </c>
      <c r="J363" s="32">
        <f t="shared" si="249"/>
        <v>313436290649.28101</v>
      </c>
      <c r="K363" s="32">
        <f t="shared" si="246"/>
        <v>1.1333616448256125</v>
      </c>
      <c r="L363" s="24">
        <f t="shared" si="250"/>
        <v>104798903291919.98</v>
      </c>
      <c r="M363" s="24">
        <f t="shared" si="251"/>
        <v>18717505318785.777</v>
      </c>
      <c r="N363" s="24">
        <f t="shared" si="252"/>
        <v>1.301775147928994E+16</v>
      </c>
      <c r="O363" s="24">
        <f t="shared" si="253"/>
        <v>4946745562130177</v>
      </c>
      <c r="P363" s="24"/>
    </row>
    <row r="364" spans="4:19">
      <c r="D364">
        <f t="shared" si="247"/>
        <v>3.2739438815458717E-2</v>
      </c>
      <c r="E364">
        <f t="shared" si="248"/>
        <v>6.5478877630917434E-2</v>
      </c>
      <c r="F364">
        <f t="shared" si="243"/>
        <v>62844631235007.141</v>
      </c>
      <c r="G364">
        <f t="shared" si="244"/>
        <v>22688905828933.43</v>
      </c>
      <c r="H364" s="33">
        <f t="shared" si="245"/>
        <v>424645265200.6441</v>
      </c>
      <c r="I364" s="33">
        <v>1400</v>
      </c>
      <c r="J364" s="33">
        <f t="shared" si="249"/>
        <v>466891129535.2876</v>
      </c>
      <c r="K364" s="33">
        <f t="shared" si="246"/>
        <v>1.0994850709442914</v>
      </c>
      <c r="L364">
        <f t="shared" si="250"/>
        <v>106655093138222.58</v>
      </c>
      <c r="M364">
        <f t="shared" si="251"/>
        <v>19278451254065.953</v>
      </c>
      <c r="N364">
        <f t="shared" si="252"/>
        <v>1.1224489795918366E+16</v>
      </c>
      <c r="O364">
        <f t="shared" si="253"/>
        <v>4265306122448979</v>
      </c>
    </row>
    <row r="365" spans="4:19">
      <c r="D365">
        <f t="shared" si="247"/>
        <v>0.47076857826615393</v>
      </c>
      <c r="E365">
        <f t="shared" si="248"/>
        <v>0.94153715653230785</v>
      </c>
      <c r="F365">
        <f t="shared" si="243"/>
        <v>63298026918860.695</v>
      </c>
      <c r="G365">
        <f t="shared" si="244"/>
        <v>25307888708113.121</v>
      </c>
      <c r="H365" s="33">
        <f t="shared" si="245"/>
        <v>615799126459.68396</v>
      </c>
      <c r="I365" s="33">
        <v>1500</v>
      </c>
      <c r="J365" s="33">
        <f t="shared" si="249"/>
        <v>659487326669.30298</v>
      </c>
      <c r="K365" s="33">
        <f t="shared" si="246"/>
        <v>1.0709455378100139</v>
      </c>
      <c r="L365">
        <f t="shared" si="250"/>
        <v>108290363761759.47</v>
      </c>
      <c r="M365">
        <f t="shared" si="251"/>
        <v>19778184684227.445</v>
      </c>
      <c r="N365">
        <f t="shared" si="252"/>
        <v>9777777777777778</v>
      </c>
      <c r="O365">
        <f t="shared" si="253"/>
        <v>3715555555555555.5</v>
      </c>
    </row>
    <row r="366" spans="4:19">
      <c r="D366">
        <f t="shared" si="247"/>
        <v>4.7844562297395319</v>
      </c>
      <c r="E366">
        <f t="shared" si="248"/>
        <v>9.5689124594790638</v>
      </c>
      <c r="F366">
        <f t="shared" si="243"/>
        <v>63697430616738.547</v>
      </c>
      <c r="G366">
        <f t="shared" si="244"/>
        <v>28089715386405.773</v>
      </c>
      <c r="H366" s="33">
        <f t="shared" si="245"/>
        <v>852462440631.84277</v>
      </c>
      <c r="I366" s="33">
        <v>1600</v>
      </c>
      <c r="J366" s="33">
        <f t="shared" si="249"/>
        <v>892171676147.00183</v>
      </c>
      <c r="K366" s="33">
        <f t="shared" si="246"/>
        <v>1.0465818007016552</v>
      </c>
      <c r="L366">
        <f t="shared" si="250"/>
        <v>109741779760914.03</v>
      </c>
      <c r="M366">
        <f t="shared" si="251"/>
        <v>20226066388107.352</v>
      </c>
      <c r="N366">
        <f t="shared" si="252"/>
        <v>8593750000000000</v>
      </c>
      <c r="O366">
        <f t="shared" si="253"/>
        <v>3265625000000000</v>
      </c>
    </row>
    <row r="367" spans="4:19">
      <c r="D367">
        <f t="shared" si="247"/>
        <v>36.567539037812978</v>
      </c>
      <c r="E367">
        <f t="shared" si="248"/>
        <v>73.135078075625955</v>
      </c>
      <c r="F367">
        <f t="shared" si="243"/>
        <v>64051938022061.437</v>
      </c>
      <c r="G367">
        <f t="shared" si="244"/>
        <v>31034502225252.477</v>
      </c>
      <c r="H367" s="33">
        <f t="shared" si="245"/>
        <v>1135783136045.822</v>
      </c>
      <c r="I367" s="33">
        <v>1700</v>
      </c>
      <c r="J367" s="33">
        <f t="shared" si="249"/>
        <v>1164796819964.262</v>
      </c>
      <c r="K367" s="33">
        <f t="shared" si="246"/>
        <v>1.0255450913098163</v>
      </c>
      <c r="L367">
        <f t="shared" si="250"/>
        <v>111038587493277.86</v>
      </c>
      <c r="M367">
        <f t="shared" si="251"/>
        <v>20629671438159.609</v>
      </c>
      <c r="N367">
        <f t="shared" si="252"/>
        <v>7612456747404844</v>
      </c>
      <c r="O367">
        <f t="shared" si="253"/>
        <v>2892733564013841</v>
      </c>
    </row>
    <row r="368" spans="4:19">
      <c r="D368">
        <f t="shared" si="247"/>
        <v>220.55558430652241</v>
      </c>
      <c r="E368">
        <f t="shared" si="248"/>
        <v>441.11116861304481</v>
      </c>
      <c r="F368">
        <f t="shared" si="243"/>
        <v>64368711726656.859</v>
      </c>
      <c r="G368">
        <f t="shared" si="244"/>
        <v>34142483981145.488</v>
      </c>
      <c r="H368" s="33">
        <f t="shared" si="245"/>
        <v>1465780346208.0549</v>
      </c>
      <c r="I368" s="33">
        <v>1800</v>
      </c>
      <c r="J368" s="33">
        <f t="shared" si="249"/>
        <v>1476335491793.4832</v>
      </c>
      <c r="K368" s="33">
        <f t="shared" si="246"/>
        <v>1.0072010418291759</v>
      </c>
      <c r="L368">
        <f t="shared" si="250"/>
        <v>112204164666683.75</v>
      </c>
      <c r="M368">
        <f t="shared" si="251"/>
        <v>20995187742193.492</v>
      </c>
      <c r="N368">
        <f t="shared" si="252"/>
        <v>6790123456790124</v>
      </c>
      <c r="O368">
        <f t="shared" si="253"/>
        <v>2580246913580247</v>
      </c>
    </row>
    <row r="369" spans="4:15">
      <c r="D369">
        <f t="shared" si="247"/>
        <v>1090.3984868856512</v>
      </c>
      <c r="E369">
        <f t="shared" si="248"/>
        <v>2180.7969737713024</v>
      </c>
      <c r="F369">
        <f t="shared" si="243"/>
        <v>64653468545979.016</v>
      </c>
      <c r="G369">
        <f t="shared" si="244"/>
        <v>37413973061632.984</v>
      </c>
      <c r="H369" s="33">
        <f t="shared" si="245"/>
        <v>1841543602724.5371</v>
      </c>
      <c r="I369" s="33">
        <v>1900</v>
      </c>
      <c r="J369" s="33">
        <f t="shared" si="249"/>
        <v>1825091715641.0222</v>
      </c>
      <c r="K369" s="33">
        <f t="shared" si="246"/>
        <v>0.99106625167105755</v>
      </c>
      <c r="L369">
        <f t="shared" si="250"/>
        <v>113257416738532.91</v>
      </c>
      <c r="M369">
        <f t="shared" si="251"/>
        <v>21327714782892.719</v>
      </c>
      <c r="N369">
        <f t="shared" si="252"/>
        <v>6094182825484765</v>
      </c>
      <c r="O369">
        <f t="shared" si="253"/>
        <v>2315789473684210.5</v>
      </c>
    </row>
    <row r="370" spans="4:15">
      <c r="D370">
        <f t="shared" si="247"/>
        <v>4554.7130562129441</v>
      </c>
      <c r="E370">
        <f t="shared" si="248"/>
        <v>9109.4261124258883</v>
      </c>
      <c r="F370">
        <f t="shared" si="243"/>
        <v>64910826583910.883</v>
      </c>
      <c r="G370">
        <f t="shared" si="244"/>
        <v>40849332661875.93</v>
      </c>
      <c r="H370" s="33">
        <f t="shared" si="245"/>
        <v>2261433425494.0698</v>
      </c>
      <c r="I370" s="33">
        <v>2000</v>
      </c>
      <c r="J370" s="33">
        <f t="shared" si="249"/>
        <v>2208891396794.769</v>
      </c>
      <c r="K370" s="33">
        <f t="shared" si="246"/>
        <v>0.97676605107761616</v>
      </c>
      <c r="L370">
        <f t="shared" si="250"/>
        <v>114213794177421.34</v>
      </c>
      <c r="M370">
        <f t="shared" si="251"/>
        <v>21631489735284.152</v>
      </c>
      <c r="N370">
        <f t="shared" si="252"/>
        <v>5500000000000000</v>
      </c>
      <c r="O370">
        <f t="shared" si="253"/>
        <v>2090000000000000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7"/>
  <sheetViews>
    <sheetView topLeftCell="A166" workbookViewId="0">
      <selection activeCell="Q7" sqref="Q7:Q15"/>
    </sheetView>
  </sheetViews>
  <sheetFormatPr defaultColWidth="11.5703125" defaultRowHeight="12.75"/>
  <cols>
    <col min="2" max="2" width="14.28515625" customWidth="1"/>
    <col min="3" max="3" width="12.42578125" bestFit="1" customWidth="1"/>
    <col min="4" max="4" width="6.7109375" customWidth="1"/>
    <col min="5" max="5" width="7.140625" customWidth="1"/>
    <col min="6" max="6" width="9.5703125" bestFit="1" customWidth="1"/>
    <col min="7" max="7" width="9.7109375" customWidth="1"/>
    <col min="8" max="8" width="5.140625" bestFit="1" customWidth="1"/>
    <col min="9" max="9" width="7" bestFit="1" customWidth="1"/>
    <col min="10" max="10" width="8.42578125" bestFit="1" customWidth="1"/>
    <col min="11" max="11" width="9" bestFit="1" customWidth="1"/>
    <col min="12" max="12" width="9.7109375" customWidth="1"/>
    <col min="13" max="13" width="9.140625" customWidth="1"/>
    <col min="14" max="14" width="7.5703125" customWidth="1"/>
    <col min="15" max="15" width="6.140625" customWidth="1"/>
    <col min="16" max="16" width="14.42578125" bestFit="1" customWidth="1"/>
    <col min="17" max="17" width="9" bestFit="1" customWidth="1"/>
    <col min="18" max="18" width="12.42578125" bestFit="1" customWidth="1"/>
    <col min="20" max="20" width="7" customWidth="1"/>
    <col min="21" max="21" width="9.85546875" customWidth="1"/>
    <col min="22" max="22" width="9.42578125" customWidth="1"/>
    <col min="23" max="23" width="10" customWidth="1"/>
    <col min="24" max="24" width="12.42578125" bestFit="1" customWidth="1"/>
    <col min="25" max="25" width="9.5703125" bestFit="1" customWidth="1"/>
    <col min="26" max="26" width="8.28515625" bestFit="1" customWidth="1"/>
  </cols>
  <sheetData>
    <row r="1" spans="1:35" ht="16.5" thickBot="1">
      <c r="A1" t="s">
        <v>0</v>
      </c>
      <c r="F1" s="91"/>
      <c r="G1" s="92"/>
      <c r="H1" s="92"/>
    </row>
    <row r="2" spans="1:35" ht="16.5" thickBot="1">
      <c r="E2" s="6"/>
      <c r="F2" s="91"/>
      <c r="G2" s="92"/>
      <c r="H2" s="92"/>
    </row>
    <row r="3" spans="1:35" ht="16.5" thickBot="1">
      <c r="F3" s="93"/>
      <c r="G3" s="92"/>
      <c r="H3" s="92"/>
      <c r="I3" s="92"/>
      <c r="S3" s="6"/>
    </row>
    <row r="4" spans="1:35">
      <c r="A4" t="s">
        <v>1</v>
      </c>
      <c r="B4" s="6">
        <v>4650000000000</v>
      </c>
      <c r="C4" s="1"/>
      <c r="D4" s="1"/>
      <c r="E4" s="1"/>
      <c r="F4" s="1"/>
    </row>
    <row r="5" spans="1:35">
      <c r="A5" t="s">
        <v>2</v>
      </c>
      <c r="B5" s="10">
        <v>0.44</v>
      </c>
      <c r="Q5" t="s">
        <v>20</v>
      </c>
      <c r="S5" s="14"/>
      <c r="T5" s="14"/>
      <c r="U5" s="14"/>
    </row>
    <row r="6" spans="1:35" ht="15.75">
      <c r="A6" t="s">
        <v>3</v>
      </c>
      <c r="B6" s="10">
        <v>0</v>
      </c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77</v>
      </c>
      <c r="Q6" t="s">
        <v>16</v>
      </c>
      <c r="S6" s="15"/>
      <c r="T6" s="18"/>
      <c r="U6" s="17"/>
    </row>
    <row r="7" spans="1:35" ht="15.75">
      <c r="A7" t="s">
        <v>1</v>
      </c>
      <c r="B7" s="6">
        <f>0.96*637000000000000000000</f>
        <v>6.1152E+20</v>
      </c>
      <c r="C7" s="6"/>
      <c r="D7" s="94">
        <f>10^E7</f>
        <v>0.86814379877232162</v>
      </c>
      <c r="E7" s="94">
        <f t="shared" ref="E7:E17" si="0">LOG(J7)/(1+(F7/(I7-0.14*F7))^2)</f>
        <v>-6.1408332610529297E-2</v>
      </c>
      <c r="F7" s="94">
        <f t="shared" ref="F7:F17" si="1">LOG(G7)+H7</f>
        <v>-3.2022963476578301</v>
      </c>
      <c r="G7" s="31">
        <f t="shared" ref="G7:G17" si="2">M7*K7/L7</f>
        <v>9.7739006238600767E-4</v>
      </c>
      <c r="H7" s="94">
        <f>-0.4-0.67*LOG(J7)</f>
        <v>-0.19236426668304976</v>
      </c>
      <c r="I7" s="94">
        <f t="shared" ref="I7:I17" si="3">0.75-1.27*LOG(J7)</f>
        <v>1.1435781810634729</v>
      </c>
      <c r="J7" s="31">
        <f t="shared" ref="J7:J19" si="4">(1-$B$10)*EXP(-O7/$B$11)+$B$10*EXP(-O7/$B$12)+EXP(-B$13/O7)</f>
        <v>0.48988700628239745</v>
      </c>
      <c r="K7" s="31">
        <v>1.3320512070875558E-4</v>
      </c>
      <c r="L7" s="28">
        <f t="shared" ref="L7:L19" si="5">B$4*O7^B$5*EXP(-B$6/1.987/O7)</f>
        <v>127019065650710.34</v>
      </c>
      <c r="M7" s="27">
        <v>932000000000000</v>
      </c>
      <c r="N7" s="94">
        <f t="shared" ref="N7:N17" si="6">10000/O7</f>
        <v>5.4377379010331701</v>
      </c>
      <c r="O7">
        <v>1839</v>
      </c>
      <c r="P7" s="30"/>
      <c r="Q7" s="58">
        <f t="shared" ref="Q7:Q17" si="7">L7/(1+L7/M7/K7)*D7</f>
        <v>107672360046.77567</v>
      </c>
      <c r="R7" s="20"/>
      <c r="S7" s="101" t="s">
        <v>76</v>
      </c>
      <c r="T7" s="19"/>
      <c r="U7" s="17"/>
      <c r="V7" s="5"/>
      <c r="W7" s="9"/>
      <c r="X7" s="4"/>
      <c r="Y7" s="6"/>
      <c r="AI7" s="6"/>
    </row>
    <row r="8" spans="1:35" ht="15.75">
      <c r="A8" t="s">
        <v>2</v>
      </c>
      <c r="B8" s="11">
        <v>-1.72</v>
      </c>
      <c r="C8" s="6"/>
      <c r="D8" s="94">
        <f>10^E8</f>
        <v>0.86730830730031727</v>
      </c>
      <c r="E8" s="94">
        <f t="shared" si="0"/>
        <v>-6.1826493806371778E-2</v>
      </c>
      <c r="F8" s="94">
        <f t="shared" si="1"/>
        <v>-3.1831872184936296</v>
      </c>
      <c r="G8" s="31">
        <f t="shared" si="2"/>
        <v>1.0213937912852118E-3</v>
      </c>
      <c r="H8" s="94">
        <f t="shared" ref="H8:H17" si="8">-0.4-0.67*LOG(J8)</f>
        <v>-0.19238043208876507</v>
      </c>
      <c r="I8" s="94">
        <f t="shared" si="3"/>
        <v>1.1435475391750274</v>
      </c>
      <c r="J8" s="31">
        <f t="shared" si="4"/>
        <v>0.48991422298320342</v>
      </c>
      <c r="K8" s="31">
        <v>1.3290375656255338E-4</v>
      </c>
      <c r="L8" s="28">
        <f t="shared" si="5"/>
        <v>126866996602200.41</v>
      </c>
      <c r="M8" s="27">
        <v>975000000000000</v>
      </c>
      <c r="N8" s="94">
        <f t="shared" si="6"/>
        <v>5.4525627044711014</v>
      </c>
      <c r="O8">
        <v>1834</v>
      </c>
      <c r="P8" s="30"/>
      <c r="Q8" s="31">
        <f t="shared" si="7"/>
        <v>112272144763.0733</v>
      </c>
      <c r="R8" s="4"/>
      <c r="T8" s="19"/>
      <c r="U8" s="17"/>
      <c r="V8" s="5"/>
      <c r="W8" s="9"/>
      <c r="X8" s="4"/>
      <c r="Y8" s="6"/>
      <c r="AI8" s="6"/>
    </row>
    <row r="9" spans="1:35" ht="15.75">
      <c r="A9" t="s">
        <v>3</v>
      </c>
      <c r="B9" s="10">
        <v>525</v>
      </c>
      <c r="C9" s="6"/>
      <c r="D9" s="94">
        <f t="shared" ref="D9:D17" si="9">10^E9</f>
        <v>0.86997753835268987</v>
      </c>
      <c r="E9" s="94">
        <f t="shared" si="0"/>
        <v>-6.0491960134726575E-2</v>
      </c>
      <c r="F9" s="94">
        <f t="shared" si="1"/>
        <v>-3.2485885968108921</v>
      </c>
      <c r="G9" s="31">
        <f t="shared" si="2"/>
        <v>8.781174089736028E-4</v>
      </c>
      <c r="H9" s="94">
        <f t="shared" si="8"/>
        <v>-0.19214118408417882</v>
      </c>
      <c r="I9" s="94">
        <f t="shared" si="3"/>
        <v>1.1440010391240194</v>
      </c>
      <c r="J9" s="31">
        <f t="shared" si="4"/>
        <v>0.48951157017980973</v>
      </c>
      <c r="K9" s="31">
        <v>1.2033975426763678E-4</v>
      </c>
      <c r="L9" s="28">
        <f t="shared" si="5"/>
        <v>129094409656011.7</v>
      </c>
      <c r="M9" s="27">
        <v>942000000000000</v>
      </c>
      <c r="N9" s="94">
        <f t="shared" si="6"/>
        <v>5.2410901467505244</v>
      </c>
      <c r="O9">
        <v>1908</v>
      </c>
      <c r="P9" s="30"/>
      <c r="Q9" s="58">
        <f t="shared" si="7"/>
        <v>98534171387.795715</v>
      </c>
      <c r="R9" s="20"/>
      <c r="S9" s="6"/>
      <c r="T9" s="19"/>
      <c r="U9" s="17"/>
      <c r="V9" s="5"/>
      <c r="W9" s="9"/>
      <c r="X9" s="4"/>
      <c r="Y9" s="6"/>
      <c r="AI9" s="6"/>
    </row>
    <row r="10" spans="1:35" ht="15.75">
      <c r="A10" t="s">
        <v>1</v>
      </c>
      <c r="B10" s="11">
        <v>0.5</v>
      </c>
      <c r="C10" s="6"/>
      <c r="D10" s="94">
        <f t="shared" si="9"/>
        <v>0.8673467776974183</v>
      </c>
      <c r="E10" s="94">
        <f t="shared" si="0"/>
        <v>-6.1807230632586078E-2</v>
      </c>
      <c r="F10" s="94">
        <f t="shared" si="1"/>
        <v>-3.1827261943992831</v>
      </c>
      <c r="G10" s="31">
        <f t="shared" si="2"/>
        <v>1.0226460977016106E-3</v>
      </c>
      <c r="H10" s="94">
        <f t="shared" si="8"/>
        <v>-0.19245155987391235</v>
      </c>
      <c r="I10" s="94">
        <f t="shared" si="3"/>
        <v>1.1434127148658677</v>
      </c>
      <c r="J10" s="31">
        <f t="shared" si="4"/>
        <v>0.49003399443140211</v>
      </c>
      <c r="K10" s="31">
        <v>1.4104147118002507E-4</v>
      </c>
      <c r="L10" s="28">
        <f t="shared" si="5"/>
        <v>126195119132384.58</v>
      </c>
      <c r="M10" s="27">
        <v>915000000000000</v>
      </c>
      <c r="N10" s="94">
        <f t="shared" si="6"/>
        <v>5.518763796909492</v>
      </c>
      <c r="O10">
        <v>1812</v>
      </c>
      <c r="P10" s="30"/>
      <c r="Q10" s="31">
        <f t="shared" si="7"/>
        <v>111819305401.657</v>
      </c>
      <c r="R10" s="4"/>
      <c r="S10" s="6"/>
      <c r="T10" s="14"/>
      <c r="U10" s="17"/>
      <c r="V10" s="5"/>
      <c r="W10" s="9"/>
      <c r="X10" s="4"/>
      <c r="Y10" s="6"/>
      <c r="AI10" s="6"/>
    </row>
    <row r="11" spans="1:35" ht="15.75">
      <c r="A11" t="s">
        <v>18</v>
      </c>
      <c r="B11" s="10">
        <v>30</v>
      </c>
      <c r="C11" s="6"/>
      <c r="D11" s="94">
        <f t="shared" si="9"/>
        <v>0.86554142306185189</v>
      </c>
      <c r="E11" s="94">
        <f t="shared" si="0"/>
        <v>-6.2712142835726556E-2</v>
      </c>
      <c r="F11" s="94">
        <f t="shared" si="1"/>
        <v>-3.1397941640060925</v>
      </c>
      <c r="G11" s="31">
        <f t="shared" si="2"/>
        <v>1.1293336871604075E-3</v>
      </c>
      <c r="H11" s="94">
        <f t="shared" si="8"/>
        <v>-0.19261644701220829</v>
      </c>
      <c r="I11" s="94">
        <f t="shared" si="3"/>
        <v>1.1431001676037247</v>
      </c>
      <c r="J11" s="31">
        <f t="shared" si="4"/>
        <v>0.49031175905412361</v>
      </c>
      <c r="K11" s="31">
        <v>1.5003981297940011E-4</v>
      </c>
      <c r="L11" s="28">
        <f t="shared" si="5"/>
        <v>124619805620557.34</v>
      </c>
      <c r="M11" s="27">
        <v>938000000000000</v>
      </c>
      <c r="N11" s="94">
        <f t="shared" si="6"/>
        <v>5.6785917092561045</v>
      </c>
      <c r="O11">
        <v>1761</v>
      </c>
      <c r="P11" s="30"/>
      <c r="Q11" s="31">
        <f t="shared" si="7"/>
        <v>121676588031.30991</v>
      </c>
      <c r="R11" s="4"/>
      <c r="S11" s="16"/>
      <c r="T11" s="14"/>
      <c r="U11" s="17"/>
      <c r="V11" s="5"/>
      <c r="W11" s="9"/>
      <c r="X11" s="4"/>
      <c r="Y11" s="6"/>
      <c r="AI11" s="6"/>
    </row>
    <row r="12" spans="1:35" ht="15.75">
      <c r="A12" t="s">
        <v>8</v>
      </c>
      <c r="B12" s="6">
        <v>90000</v>
      </c>
      <c r="C12" s="6"/>
      <c r="D12" s="94">
        <f t="shared" si="9"/>
        <v>0.87899800101169123</v>
      </c>
      <c r="E12" s="94">
        <f t="shared" si="0"/>
        <v>-5.6012112583314608E-2</v>
      </c>
      <c r="F12" s="94">
        <f t="shared" si="1"/>
        <v>-3.4596120366973109</v>
      </c>
      <c r="G12" s="31">
        <f t="shared" si="2"/>
        <v>5.4099738029705165E-4</v>
      </c>
      <c r="H12" s="94">
        <f t="shared" si="8"/>
        <v>-0.19280719879964869</v>
      </c>
      <c r="I12" s="94">
        <f t="shared" si="3"/>
        <v>1.1427385933200689</v>
      </c>
      <c r="J12" s="31">
        <f t="shared" si="4"/>
        <v>0.49063329103124775</v>
      </c>
      <c r="K12" s="31">
        <v>6.6951243453554913E-5</v>
      </c>
      <c r="L12" s="28">
        <f t="shared" si="5"/>
        <v>122765166569677.08</v>
      </c>
      <c r="M12" s="27">
        <v>992000000000000</v>
      </c>
      <c r="N12" s="94">
        <f t="shared" si="6"/>
        <v>5.8754406580493539</v>
      </c>
      <c r="O12">
        <v>1702</v>
      </c>
      <c r="P12" s="30"/>
      <c r="Q12" s="31">
        <f t="shared" si="7"/>
        <v>58347643165.535408</v>
      </c>
      <c r="R12" s="4"/>
      <c r="S12" s="17"/>
      <c r="T12" s="14"/>
      <c r="U12" s="17"/>
      <c r="V12" s="5"/>
      <c r="W12" s="9"/>
      <c r="X12" s="4"/>
      <c r="Y12" s="6"/>
      <c r="AI12" s="6"/>
    </row>
    <row r="13" spans="1:35" ht="15.75">
      <c r="A13" t="s">
        <v>19</v>
      </c>
      <c r="B13" s="6">
        <v>90000</v>
      </c>
      <c r="C13" s="6"/>
      <c r="D13" s="94">
        <f t="shared" si="9"/>
        <v>0.87484587092200616</v>
      </c>
      <c r="E13" s="94">
        <f t="shared" si="0"/>
        <v>-5.8068453611052576E-2</v>
      </c>
      <c r="F13" s="94">
        <f t="shared" si="1"/>
        <v>-3.3496143345826068</v>
      </c>
      <c r="G13" s="31">
        <f t="shared" si="2"/>
        <v>6.9720578895821614E-4</v>
      </c>
      <c r="H13" s="94">
        <f t="shared" si="8"/>
        <v>-0.19297531901908765</v>
      </c>
      <c r="I13" s="94">
        <f t="shared" si="3"/>
        <v>1.142419917680237</v>
      </c>
      <c r="J13" s="31">
        <f t="shared" si="4"/>
        <v>0.49091684995297707</v>
      </c>
      <c r="K13" s="31">
        <v>7.3419095938941981E-5</v>
      </c>
      <c r="L13" s="28">
        <f t="shared" si="5"/>
        <v>121100486638161.47</v>
      </c>
      <c r="M13" s="27">
        <v>1150000000000000</v>
      </c>
      <c r="N13" s="94">
        <f t="shared" si="6"/>
        <v>6.0606060606060606</v>
      </c>
      <c r="O13">
        <v>1650</v>
      </c>
      <c r="P13" s="30"/>
      <c r="Q13" s="31">
        <f t="shared" si="7"/>
        <v>73813488676.752884</v>
      </c>
      <c r="R13" s="4"/>
      <c r="S13" s="6"/>
      <c r="U13" s="17"/>
      <c r="V13" s="5"/>
      <c r="W13" s="9"/>
      <c r="X13" s="4"/>
      <c r="Y13" s="6"/>
      <c r="AI13" s="6"/>
    </row>
    <row r="14" spans="1:35" ht="15.75">
      <c r="C14" s="6"/>
      <c r="D14" s="94">
        <f t="shared" si="9"/>
        <v>0.8708789313517542</v>
      </c>
      <c r="E14" s="94">
        <f t="shared" si="0"/>
        <v>-6.0042215945797353E-2</v>
      </c>
      <c r="F14" s="94">
        <f t="shared" si="1"/>
        <v>-3.2478961193752927</v>
      </c>
      <c r="G14" s="31">
        <f t="shared" si="2"/>
        <v>8.8183955537483513E-4</v>
      </c>
      <c r="H14" s="94">
        <f t="shared" si="8"/>
        <v>-0.19328569480882121</v>
      </c>
      <c r="I14" s="94">
        <f t="shared" si="3"/>
        <v>1.1418315934220851</v>
      </c>
      <c r="J14" s="31">
        <f t="shared" si="4"/>
        <v>0.49144077396939329</v>
      </c>
      <c r="K14" s="31">
        <v>8.3209126253990331E-5</v>
      </c>
      <c r="L14" s="28">
        <f t="shared" si="5"/>
        <v>117948222194769.64</v>
      </c>
      <c r="M14" s="27">
        <v>1250000000000000</v>
      </c>
      <c r="N14" s="94">
        <f t="shared" si="6"/>
        <v>6.4350064350064349</v>
      </c>
      <c r="O14">
        <v>1554</v>
      </c>
      <c r="P14" s="30"/>
      <c r="Q14" s="31">
        <f t="shared" si="7"/>
        <v>90501535854.346832</v>
      </c>
      <c r="R14" s="4"/>
      <c r="S14" s="6"/>
      <c r="U14" s="17"/>
      <c r="V14" s="5"/>
      <c r="W14" s="9"/>
      <c r="X14" s="4"/>
      <c r="Y14" s="6"/>
      <c r="AI14" s="6"/>
    </row>
    <row r="15" spans="1:35" ht="15.75">
      <c r="C15" s="6"/>
      <c r="D15" s="94">
        <f t="shared" si="9"/>
        <v>0.867072313207224</v>
      </c>
      <c r="E15" s="94">
        <f t="shared" si="0"/>
        <v>-6.1944681165954592E-2</v>
      </c>
      <c r="F15" s="94">
        <f t="shared" si="1"/>
        <v>-3.1610125740790496</v>
      </c>
      <c r="G15" s="31">
        <f t="shared" si="2"/>
        <v>1.0771584355645295E-3</v>
      </c>
      <c r="H15" s="94">
        <f t="shared" si="8"/>
        <v>-0.1932921609711073</v>
      </c>
      <c r="I15" s="94">
        <f t="shared" si="3"/>
        <v>1.1418193366667071</v>
      </c>
      <c r="J15" s="31">
        <f t="shared" si="4"/>
        <v>0.49145169499682578</v>
      </c>
      <c r="K15" s="31">
        <v>9.06978222982474E-5</v>
      </c>
      <c r="L15" s="28">
        <f t="shared" si="5"/>
        <v>117881406323480</v>
      </c>
      <c r="M15" s="27">
        <v>1400000000000000</v>
      </c>
      <c r="N15" s="94">
        <f t="shared" si="6"/>
        <v>6.4432989690721651</v>
      </c>
      <c r="O15">
        <v>1552</v>
      </c>
      <c r="P15" s="30"/>
      <c r="Q15" s="31">
        <f t="shared" si="7"/>
        <v>109979733218.82097</v>
      </c>
      <c r="R15" s="4"/>
      <c r="S15" s="6"/>
      <c r="U15" s="17"/>
      <c r="V15" s="5"/>
      <c r="W15" s="9"/>
      <c r="X15" s="4"/>
      <c r="Y15" s="6"/>
      <c r="AI15" s="6"/>
    </row>
    <row r="16" spans="1:35" ht="15.75">
      <c r="D16" s="94">
        <f t="shared" si="9"/>
        <v>0.86870189724925551</v>
      </c>
      <c r="E16" s="94">
        <f t="shared" si="0"/>
        <v>-6.112922998467344E-2</v>
      </c>
      <c r="F16" s="94">
        <f t="shared" si="1"/>
        <v>-3.2012792420259184</v>
      </c>
      <c r="G16" s="31">
        <f t="shared" si="2"/>
        <v>9.8133141278445397E-4</v>
      </c>
      <c r="H16" s="94">
        <f t="shared" si="8"/>
        <v>-0.1930949430213808</v>
      </c>
      <c r="I16" s="94">
        <f t="shared" si="3"/>
        <v>1.1421931677057409</v>
      </c>
      <c r="J16" s="31">
        <f t="shared" si="4"/>
        <v>0.49111871281581426</v>
      </c>
      <c r="K16" s="31">
        <v>1.0321027238245426E-4</v>
      </c>
      <c r="L16" s="28">
        <f t="shared" si="5"/>
        <v>119898037485773.84</v>
      </c>
      <c r="M16" s="27">
        <v>1140000000000000</v>
      </c>
      <c r="N16" s="94">
        <f t="shared" si="6"/>
        <v>6.1996280223186613</v>
      </c>
      <c r="O16" s="33">
        <v>1613</v>
      </c>
      <c r="P16" s="30"/>
      <c r="Q16" s="31">
        <f t="shared" si="7"/>
        <v>102111009014.30867</v>
      </c>
      <c r="R16" s="4"/>
      <c r="S16" s="6"/>
      <c r="U16" s="17"/>
      <c r="V16" s="5"/>
      <c r="W16" s="9"/>
      <c r="X16" s="4"/>
      <c r="Y16" s="6"/>
      <c r="AI16" s="6"/>
    </row>
    <row r="17" spans="1:35" ht="15.75">
      <c r="A17" t="s">
        <v>17</v>
      </c>
      <c r="D17" s="94">
        <f t="shared" si="9"/>
        <v>0.86826799692924328</v>
      </c>
      <c r="E17" s="94">
        <f t="shared" si="0"/>
        <v>-6.134620613288249E-2</v>
      </c>
      <c r="F17" s="94">
        <f t="shared" si="1"/>
        <v>-3.1902405244883343</v>
      </c>
      <c r="G17" s="31">
        <f t="shared" si="2"/>
        <v>1.0067440699607795E-3</v>
      </c>
      <c r="H17" s="94">
        <f t="shared" si="8"/>
        <v>-0.19315960464424195</v>
      </c>
      <c r="I17" s="94">
        <f t="shared" si="3"/>
        <v>1.1420706001519594</v>
      </c>
      <c r="J17" s="31">
        <f t="shared" si="4"/>
        <v>0.49122786243483735</v>
      </c>
      <c r="K17" s="31">
        <v>1.0718375104819452E-4</v>
      </c>
      <c r="L17" s="28">
        <f t="shared" si="5"/>
        <v>119241627297248.02</v>
      </c>
      <c r="M17" s="27">
        <v>1120000000000000</v>
      </c>
      <c r="N17" s="94">
        <f t="shared" si="6"/>
        <v>6.2774639045825484</v>
      </c>
      <c r="O17" s="33">
        <v>1593</v>
      </c>
      <c r="P17" s="30"/>
      <c r="Q17" s="31">
        <f t="shared" si="7"/>
        <v>104127097986.67564</v>
      </c>
      <c r="R17" s="4"/>
      <c r="S17" s="6"/>
      <c r="U17" s="17"/>
      <c r="V17" s="5"/>
      <c r="W17" s="9"/>
      <c r="X17" s="4"/>
      <c r="Y17" s="6"/>
      <c r="AI17" s="6"/>
    </row>
    <row r="18" spans="1:35" ht="15.75">
      <c r="A18" s="6"/>
      <c r="D18" s="94">
        <f>10^E18</f>
        <v>0.86521623790244218</v>
      </c>
      <c r="E18" s="94">
        <f>LOG(J18)/(1+(F18/(I18-0.14*F18))^2)</f>
        <v>-6.2875338556508814E-2</v>
      </c>
      <c r="F18" s="94">
        <f>LOG(G18)+H18</f>
        <v>-3.1208264126225824</v>
      </c>
      <c r="G18" s="31">
        <f>M18*K18/L18</f>
        <v>1.1815167522523282E-3</v>
      </c>
      <c r="H18" s="94">
        <f>-0.4-0.67*LOG(J18)</f>
        <v>-0.19326629632196285</v>
      </c>
      <c r="I18" s="94">
        <f>0.75-1.27*LOG(J18)</f>
        <v>1.1418683636882196</v>
      </c>
      <c r="J18" s="31">
        <f t="shared" si="4"/>
        <v>0.49140801234319498</v>
      </c>
      <c r="K18" s="31">
        <v>1.1257604180159508E-4</v>
      </c>
      <c r="L18" s="28">
        <f t="shared" si="5"/>
        <v>118148381364774.53</v>
      </c>
      <c r="M18" s="27">
        <v>1240000000000000</v>
      </c>
      <c r="N18" s="94">
        <f>10000/O18</f>
        <v>6.4102564102564106</v>
      </c>
      <c r="O18" s="33">
        <v>1560</v>
      </c>
      <c r="P18" s="30"/>
      <c r="Q18" s="31">
        <f>L18/(1+L18/M18/K18)*D18</f>
        <v>120636713715.05894</v>
      </c>
      <c r="R18" s="4"/>
      <c r="S18" s="6"/>
      <c r="U18" s="17"/>
      <c r="V18" s="5"/>
      <c r="W18" s="9"/>
      <c r="X18" s="4"/>
      <c r="Y18" s="6"/>
    </row>
    <row r="19" spans="1:35" ht="15.75">
      <c r="D19" s="94">
        <f>10^E19</f>
        <v>0.86345627633335087</v>
      </c>
      <c r="E19" s="94">
        <f>LOG(J19)/(1+(F19/(I19-0.14*F19))^2)</f>
        <v>-6.3759649327474341E-2</v>
      </c>
      <c r="F19" s="94">
        <f>LOG(G19)+H19</f>
        <v>-3.0794095239761119</v>
      </c>
      <c r="G19" s="31">
        <f>M19*K19/L19</f>
        <v>1.3003699431374616E-3</v>
      </c>
      <c r="H19" s="94">
        <f>-0.4-0.67*LOG(J19)</f>
        <v>-0.19347644659626162</v>
      </c>
      <c r="I19" s="94">
        <f>0.75-1.27*LOG(J19)</f>
        <v>1.1414700191384295</v>
      </c>
      <c r="J19" s="31">
        <f t="shared" si="4"/>
        <v>0.49176304632116929</v>
      </c>
      <c r="K19" s="31">
        <v>1.1967169854128467E-4</v>
      </c>
      <c r="L19" s="28">
        <f t="shared" si="5"/>
        <v>115956494502025.81</v>
      </c>
      <c r="M19" s="27">
        <v>1260000000000000</v>
      </c>
      <c r="N19" s="94">
        <f>10000/O19</f>
        <v>6.6889632107023411</v>
      </c>
      <c r="O19" s="33">
        <v>1495</v>
      </c>
      <c r="P19" s="30"/>
      <c r="Q19" s="31">
        <f>L19/(1+L19/M19/K19)*D19</f>
        <v>130028326870.21216</v>
      </c>
      <c r="R19" s="4"/>
      <c r="S19" s="6"/>
      <c r="U19" s="17"/>
      <c r="V19" s="5"/>
      <c r="W19" s="9"/>
      <c r="X19" s="4"/>
      <c r="Y19" s="6"/>
      <c r="AI19" s="6"/>
    </row>
    <row r="20" spans="1:35">
      <c r="D20" s="2" t="s">
        <v>4</v>
      </c>
      <c r="E20" s="2" t="s">
        <v>5</v>
      </c>
      <c r="F20" t="s">
        <v>6</v>
      </c>
      <c r="G20" s="6" t="s">
        <v>7</v>
      </c>
      <c r="H20" s="2" t="s">
        <v>8</v>
      </c>
      <c r="I20" t="s">
        <v>9</v>
      </c>
      <c r="J20" t="s">
        <v>10</v>
      </c>
      <c r="K20" s="6" t="s">
        <v>11</v>
      </c>
      <c r="L20" s="6" t="s">
        <v>12</v>
      </c>
      <c r="M20" s="6" t="s">
        <v>13</v>
      </c>
      <c r="N20" s="2" t="s">
        <v>14</v>
      </c>
      <c r="P20">
        <f>760*5</f>
        <v>3800</v>
      </c>
      <c r="Q20" s="6" t="s">
        <v>16</v>
      </c>
      <c r="S20" s="6"/>
      <c r="Y20" s="6"/>
      <c r="AI20" s="6"/>
    </row>
    <row r="21" spans="1:35" ht="15.75">
      <c r="D21" s="7">
        <f t="shared" ref="D21:D31" si="10">10^E21</f>
        <v>0.73385477980118241</v>
      </c>
      <c r="E21" s="7">
        <f t="shared" ref="E21:E31" si="11">LOG(J21)/(1+(F21/(I21-0.14*F21))^2)</f>
        <v>-0.13438987274168415</v>
      </c>
      <c r="F21" s="7">
        <f t="shared" ref="F21:F31" si="12">LOG(G21)+H21</f>
        <v>-1.5037159704647218</v>
      </c>
      <c r="G21" s="8">
        <f t="shared" ref="G21:G31" si="13">M21*K21/L21</f>
        <v>4.9389799400442608E-2</v>
      </c>
      <c r="H21" s="7">
        <f>-0.4-0.67*LOG(J21)</f>
        <v>-0.19735323271742669</v>
      </c>
      <c r="I21" s="7">
        <f t="shared" ref="I21:I31" si="14">0.75-1.27*LOG(J21)</f>
        <v>1.134121484252042</v>
      </c>
      <c r="J21" s="4">
        <f t="shared" ref="J21:J33" si="15">(1-$B$10)*EXP(-O21/$B$11)+$B$10*EXP(-O21/$B$12)+EXP(-B$13/O21)</f>
        <v>0.49835880799214288</v>
      </c>
      <c r="K21" s="8">
        <f t="shared" ref="K21:K33" si="16">$P$20*101325/760/8.314/O21/1000000</f>
        <v>2.0312124127976907E-4</v>
      </c>
      <c r="L21" s="9">
        <f t="shared" ref="L21:L33" si="17">B$4*O21^B$5*EXP(-B$6/1.987/O21)</f>
        <v>57198719309897.531</v>
      </c>
      <c r="M21" s="8">
        <f t="shared" ref="M21:M31" si="18">$B$7*O21^$B$8*EXP(-$B$9/1.987/O21)</f>
        <v>1.3908113473898094E+16</v>
      </c>
      <c r="N21" s="7">
        <f t="shared" ref="N21:N31" si="19">10000/O21</f>
        <v>33.333333333333336</v>
      </c>
      <c r="O21" s="12">
        <v>300</v>
      </c>
      <c r="P21" s="13"/>
      <c r="Q21" s="8">
        <f t="shared" ref="Q21:Q31" si="20">L21/(1+L21/M21/K21)*D21</f>
        <v>1975590168149.7693</v>
      </c>
      <c r="R21" s="8"/>
      <c r="S21" s="6"/>
      <c r="AI21" s="6"/>
    </row>
    <row r="22" spans="1:35" ht="15.75">
      <c r="D22" s="7">
        <f t="shared" si="10"/>
        <v>0.77147438757081488</v>
      </c>
      <c r="E22" s="7">
        <f t="shared" si="11"/>
        <v>-0.11267848764529803</v>
      </c>
      <c r="F22" s="7">
        <f t="shared" si="12"/>
        <v>-1.8025628187677099</v>
      </c>
      <c r="G22" s="8">
        <f t="shared" si="13"/>
        <v>2.4800150996214926E-2</v>
      </c>
      <c r="H22" s="7">
        <f t="shared" ref="H22:H31" si="21">-0.4-0.67*LOG(J22)</f>
        <v>-0.19701714381260743</v>
      </c>
      <c r="I22" s="7">
        <f t="shared" si="14"/>
        <v>1.1347585482955054</v>
      </c>
      <c r="J22" s="4">
        <f t="shared" si="15"/>
        <v>0.49778351853994257</v>
      </c>
      <c r="K22" s="8">
        <f t="shared" si="16"/>
        <v>1.523409309598268E-4</v>
      </c>
      <c r="L22" s="9">
        <f t="shared" si="17"/>
        <v>64917135642202.219</v>
      </c>
      <c r="M22" s="8">
        <f t="shared" si="18"/>
        <v>1.0568103765841732E+16</v>
      </c>
      <c r="N22" s="7">
        <f t="shared" si="19"/>
        <v>25</v>
      </c>
      <c r="O22" s="12">
        <v>400</v>
      </c>
      <c r="P22" s="13"/>
      <c r="Q22" s="20">
        <f t="shared" si="20"/>
        <v>1211981542000.2349</v>
      </c>
      <c r="R22" s="20"/>
      <c r="S22" s="6"/>
      <c r="AI22" s="6"/>
    </row>
    <row r="23" spans="1:35" ht="15.75">
      <c r="D23" s="7">
        <f t="shared" si="10"/>
        <v>0.7969800622985761</v>
      </c>
      <c r="E23" s="7">
        <f t="shared" si="11"/>
        <v>-9.8552543022979833E-2</v>
      </c>
      <c r="F23" s="7">
        <f t="shared" si="12"/>
        <v>-2.0511006130151084</v>
      </c>
      <c r="G23" s="8">
        <f t="shared" si="13"/>
        <v>1.3982755580564362E-2</v>
      </c>
      <c r="H23" s="7">
        <f t="shared" si="21"/>
        <v>-0.19669337923919974</v>
      </c>
      <c r="I23" s="7">
        <f t="shared" si="14"/>
        <v>1.1353722512928601</v>
      </c>
      <c r="J23" s="4">
        <f t="shared" si="15"/>
        <v>0.49722995289119098</v>
      </c>
      <c r="K23" s="8">
        <f t="shared" si="16"/>
        <v>1.2187274476786144E-4</v>
      </c>
      <c r="L23" s="9">
        <f t="shared" si="17"/>
        <v>71614300587921.641</v>
      </c>
      <c r="M23" s="8">
        <f t="shared" si="18"/>
        <v>8216482389900526</v>
      </c>
      <c r="N23" s="7">
        <f t="shared" si="19"/>
        <v>20</v>
      </c>
      <c r="O23" s="12">
        <v>500</v>
      </c>
      <c r="P23" s="13"/>
      <c r="Q23" s="8">
        <f t="shared" si="20"/>
        <v>787062840918.89062</v>
      </c>
      <c r="R23" s="8"/>
      <c r="S23" s="6"/>
      <c r="AI23" s="6"/>
    </row>
    <row r="24" spans="1:35" ht="15.75">
      <c r="D24" s="7">
        <f t="shared" si="10"/>
        <v>0.81524196588836984</v>
      </c>
      <c r="E24" s="7">
        <f t="shared" si="11"/>
        <v>-8.8713472420859224E-2</v>
      </c>
      <c r="F24" s="7">
        <f t="shared" si="12"/>
        <v>-2.2627406379196939</v>
      </c>
      <c r="G24" s="8">
        <f t="shared" si="13"/>
        <v>8.5828083867181999E-3</v>
      </c>
      <c r="H24" s="7">
        <f t="shared" si="21"/>
        <v>-0.19637005482305869</v>
      </c>
      <c r="I24" s="7">
        <f t="shared" si="14"/>
        <v>1.1359851199622619</v>
      </c>
      <c r="J24" s="4">
        <f t="shared" si="15"/>
        <v>0.49667775415809401</v>
      </c>
      <c r="K24" s="8">
        <f t="shared" si="16"/>
        <v>1.0156062063988453E-4</v>
      </c>
      <c r="L24" s="9">
        <f t="shared" si="17"/>
        <v>77596030140271.719</v>
      </c>
      <c r="M24" s="8">
        <f t="shared" si="18"/>
        <v>6557579641280926</v>
      </c>
      <c r="N24" s="7">
        <f t="shared" si="19"/>
        <v>16.666666666666668</v>
      </c>
      <c r="O24" s="12">
        <v>600</v>
      </c>
      <c r="P24" s="13"/>
      <c r="Q24" s="20">
        <f t="shared" si="20"/>
        <v>538324178522.56451</v>
      </c>
      <c r="R24" s="20"/>
      <c r="S24" s="6"/>
      <c r="AI24" s="6"/>
    </row>
    <row r="25" spans="1:35" ht="15.75">
      <c r="D25" s="7">
        <f t="shared" si="10"/>
        <v>0.8289387650352017</v>
      </c>
      <c r="E25" s="7">
        <f t="shared" si="11"/>
        <v>-8.1477550257394768E-2</v>
      </c>
      <c r="F25" s="7">
        <f t="shared" si="12"/>
        <v>-2.4466481928918076</v>
      </c>
      <c r="G25" s="8">
        <f t="shared" si="13"/>
        <v>5.6156308761922116E-3</v>
      </c>
      <c r="H25" s="7">
        <f t="shared" si="21"/>
        <v>-0.19604674612655482</v>
      </c>
      <c r="I25" s="7">
        <f t="shared" si="14"/>
        <v>1.1365979588347395</v>
      </c>
      <c r="J25" s="4">
        <f t="shared" si="15"/>
        <v>0.49612619547182518</v>
      </c>
      <c r="K25" s="8">
        <f t="shared" si="16"/>
        <v>8.7051960548472444E-5</v>
      </c>
      <c r="L25" s="9">
        <f t="shared" si="17"/>
        <v>83041673073623.266</v>
      </c>
      <c r="M25" s="8">
        <f t="shared" si="18"/>
        <v>5356931427905459</v>
      </c>
      <c r="N25" s="7">
        <f t="shared" si="19"/>
        <v>14.285714285714286</v>
      </c>
      <c r="O25" s="12">
        <v>700</v>
      </c>
      <c r="P25" s="13"/>
      <c r="Q25" s="8">
        <f t="shared" si="20"/>
        <v>384401504033.93274</v>
      </c>
      <c r="R25" s="8"/>
      <c r="S25" s="6"/>
      <c r="AI25" s="6"/>
    </row>
    <row r="26" spans="1:35" ht="15.75">
      <c r="D26" s="7">
        <f t="shared" si="10"/>
        <v>0.83959821373769905</v>
      </c>
      <c r="E26" s="7">
        <f t="shared" si="11"/>
        <v>-7.5928494059010393E-2</v>
      </c>
      <c r="F26" s="7">
        <f t="shared" si="12"/>
        <v>-2.6090886935331099</v>
      </c>
      <c r="G26" s="8">
        <f t="shared" si="13"/>
        <v>3.8604216668311113E-3</v>
      </c>
      <c r="H26" s="7">
        <f t="shared" si="21"/>
        <v>-0.19572343799145669</v>
      </c>
      <c r="I26" s="7">
        <f t="shared" si="14"/>
        <v>1.1372107966430598</v>
      </c>
      <c r="J26" s="4">
        <f t="shared" si="15"/>
        <v>0.49557525024545401</v>
      </c>
      <c r="K26" s="8">
        <f t="shared" si="16"/>
        <v>7.6170465479913401E-5</v>
      </c>
      <c r="L26" s="9">
        <f t="shared" si="17"/>
        <v>88066867137719.016</v>
      </c>
      <c r="M26" s="8">
        <f t="shared" si="18"/>
        <v>4463347307730983.5</v>
      </c>
      <c r="N26" s="7">
        <f t="shared" si="19"/>
        <v>12.5</v>
      </c>
      <c r="O26" s="12">
        <v>800</v>
      </c>
      <c r="P26" s="13"/>
      <c r="Q26" s="8">
        <f t="shared" si="20"/>
        <v>284344914652.69739</v>
      </c>
      <c r="R26" s="8"/>
      <c r="S26" s="6"/>
      <c r="AI26" s="6"/>
    </row>
    <row r="27" spans="1:35" ht="15.75">
      <c r="D27" s="7">
        <f t="shared" si="10"/>
        <v>0.85180957894047182</v>
      </c>
      <c r="E27" s="7">
        <f t="shared" si="11"/>
        <v>-6.9657480419116152E-2</v>
      </c>
      <c r="F27" s="7">
        <f t="shared" si="12"/>
        <v>-2.8217983011193732</v>
      </c>
      <c r="G27" s="8">
        <f t="shared" si="13"/>
        <v>2.3628718844114793E-3</v>
      </c>
      <c r="H27" s="7">
        <f t="shared" si="21"/>
        <v>-0.19523847581923312</v>
      </c>
      <c r="I27" s="7">
        <f t="shared" si="14"/>
        <v>1.1381300532978715</v>
      </c>
      <c r="J27" s="4">
        <f t="shared" si="15"/>
        <v>0.49474997941047399</v>
      </c>
      <c r="K27" s="8">
        <f t="shared" si="16"/>
        <v>6.414354987782181E-5</v>
      </c>
      <c r="L27" s="9">
        <f t="shared" si="17"/>
        <v>94984193431065.859</v>
      </c>
      <c r="M27" s="8">
        <f t="shared" si="18"/>
        <v>3498956333867757.5</v>
      </c>
      <c r="N27" s="7">
        <f t="shared" si="19"/>
        <v>10.526315789473685</v>
      </c>
      <c r="O27" s="12">
        <v>950</v>
      </c>
      <c r="P27" s="13"/>
      <c r="Q27" s="8">
        <f t="shared" si="20"/>
        <v>190725631589.306</v>
      </c>
      <c r="R27" s="8"/>
      <c r="S27" s="6"/>
      <c r="AI27" s="6"/>
    </row>
    <row r="28" spans="1:35" ht="15.75">
      <c r="D28" s="7">
        <f t="shared" si="10"/>
        <v>0.85515041939126835</v>
      </c>
      <c r="E28" s="7">
        <f t="shared" si="11"/>
        <v>-6.7957486949168922E-2</v>
      </c>
      <c r="F28" s="7">
        <f t="shared" si="12"/>
        <v>-2.8859906772668609</v>
      </c>
      <c r="G28" s="8">
        <f t="shared" si="13"/>
        <v>2.037446175325296E-3</v>
      </c>
      <c r="H28" s="7">
        <f t="shared" si="21"/>
        <v>-0.19507682176207602</v>
      </c>
      <c r="I28" s="7">
        <f t="shared" si="14"/>
        <v>1.1384364721823335</v>
      </c>
      <c r="J28" s="4">
        <f t="shared" si="15"/>
        <v>0.49447519464696282</v>
      </c>
      <c r="K28" s="8">
        <f t="shared" si="16"/>
        <v>6.0936372383930719E-5</v>
      </c>
      <c r="L28" s="9">
        <f t="shared" si="17"/>
        <v>97152270084712.828</v>
      </c>
      <c r="M28" s="8">
        <f t="shared" si="18"/>
        <v>3248347634826830.5</v>
      </c>
      <c r="N28" s="7">
        <f t="shared" si="19"/>
        <v>10</v>
      </c>
      <c r="O28" s="12">
        <v>1000</v>
      </c>
      <c r="P28" s="13"/>
      <c r="Q28" s="8">
        <f t="shared" si="20"/>
        <v>168926451388.80728</v>
      </c>
      <c r="R28" s="8"/>
      <c r="S28" s="6"/>
      <c r="AI28" s="6"/>
    </row>
    <row r="29" spans="1:35" ht="15.75">
      <c r="D29" s="7">
        <f t="shared" si="10"/>
        <v>0.85110121592338783</v>
      </c>
      <c r="E29" s="7">
        <f t="shared" si="11"/>
        <v>-7.0018789030436901E-2</v>
      </c>
      <c r="F29" s="7">
        <f t="shared" si="12"/>
        <v>-2.8181911115766596</v>
      </c>
      <c r="G29" s="8">
        <f t="shared" si="13"/>
        <v>2.3795836351066311E-3</v>
      </c>
      <c r="H29" s="7">
        <f t="shared" si="21"/>
        <v>-0.19469208510605129</v>
      </c>
      <c r="I29" s="7">
        <f t="shared" si="14"/>
        <v>1.1391657491273357</v>
      </c>
      <c r="J29" s="4">
        <f t="shared" si="15"/>
        <v>0.49382182060429031</v>
      </c>
      <c r="K29" s="8">
        <f>760*8.1*101325/760/8.314/O29/1000000</f>
        <v>8.8218876909712041E-5</v>
      </c>
      <c r="L29" s="9">
        <f t="shared" si="17"/>
        <v>102079419335907.59</v>
      </c>
      <c r="M29" s="8">
        <f t="shared" si="18"/>
        <v>2753452823725207.5</v>
      </c>
      <c r="N29" s="7">
        <f t="shared" si="19"/>
        <v>8.9365504915102765</v>
      </c>
      <c r="O29" s="12">
        <v>1119</v>
      </c>
      <c r="P29" s="13"/>
      <c r="Q29" s="8">
        <f t="shared" si="20"/>
        <v>206247248319.10995</v>
      </c>
      <c r="R29" s="8"/>
      <c r="S29" s="6"/>
      <c r="AI29" s="6"/>
    </row>
    <row r="30" spans="1:35" ht="15.75">
      <c r="D30" s="7">
        <f t="shared" si="10"/>
        <v>0.8545618305051369</v>
      </c>
      <c r="E30" s="7">
        <f t="shared" si="11"/>
        <v>-6.8256509098036822E-2</v>
      </c>
      <c r="F30" s="7">
        <f t="shared" si="12"/>
        <v>-2.8824561932702908</v>
      </c>
      <c r="G30" s="8">
        <f t="shared" si="13"/>
        <v>2.0520168822318169E-3</v>
      </c>
      <c r="H30" s="7">
        <f t="shared" si="21"/>
        <v>-0.19463712272661926</v>
      </c>
      <c r="I30" s="7">
        <f t="shared" si="14"/>
        <v>1.1392699315480501</v>
      </c>
      <c r="J30" s="4">
        <f t="shared" si="15"/>
        <v>0.49372855195826998</v>
      </c>
      <c r="K30" s="8">
        <f>760*7.3*101325/760/8.314/O30/1000000</f>
        <v>7.8316112394840532E-5</v>
      </c>
      <c r="L30" s="9">
        <f t="shared" si="17"/>
        <v>102758893387758.92</v>
      </c>
      <c r="M30" s="8">
        <f t="shared" si="18"/>
        <v>2692459796370489.5</v>
      </c>
      <c r="N30" s="7">
        <f t="shared" si="19"/>
        <v>8.8028169014084501</v>
      </c>
      <c r="O30" s="12">
        <v>1136</v>
      </c>
      <c r="P30" s="13"/>
      <c r="Q30" s="8">
        <f t="shared" si="20"/>
        <v>179826450706.70505</v>
      </c>
      <c r="R30" s="8"/>
      <c r="S30" s="6"/>
    </row>
    <row r="31" spans="1:35" ht="15.75">
      <c r="D31" s="7">
        <f t="shared" si="10"/>
        <v>0.87028941831751039</v>
      </c>
      <c r="E31" s="7">
        <f t="shared" si="11"/>
        <v>-6.033629694906574E-2</v>
      </c>
      <c r="F31" s="7">
        <f t="shared" si="12"/>
        <v>-3.218601400543708</v>
      </c>
      <c r="G31" s="8">
        <f t="shared" si="13"/>
        <v>9.4516035528182058E-4</v>
      </c>
      <c r="H31" s="7">
        <f t="shared" si="21"/>
        <v>-0.19410689741915779</v>
      </c>
      <c r="I31" s="7">
        <f t="shared" si="14"/>
        <v>1.140274985489059</v>
      </c>
      <c r="J31" s="4">
        <f t="shared" si="15"/>
        <v>0.49282968803277855</v>
      </c>
      <c r="K31" s="8">
        <f t="shared" si="16"/>
        <v>4.6874132603023633E-5</v>
      </c>
      <c r="L31" s="9">
        <f t="shared" si="17"/>
        <v>109040548617475.11</v>
      </c>
      <c r="M31" s="8">
        <f t="shared" si="18"/>
        <v>2198671163565583</v>
      </c>
      <c r="N31" s="7">
        <f t="shared" si="19"/>
        <v>7.6923076923076925</v>
      </c>
      <c r="O31" s="12">
        <v>1300</v>
      </c>
      <c r="P31" s="13"/>
      <c r="Q31" s="8">
        <f t="shared" si="20"/>
        <v>89608032918.303818</v>
      </c>
      <c r="R31" s="8"/>
      <c r="S31" s="6"/>
      <c r="AI31" s="6"/>
    </row>
    <row r="32" spans="1:35" ht="15.75">
      <c r="D32" s="7">
        <f>10^E32</f>
        <v>0.8773180703364577</v>
      </c>
      <c r="E32" s="7">
        <f>LOG(J32)/(1+(F32/(I32-0.14*F32))^2)</f>
        <v>-5.6842925278862019E-2</v>
      </c>
      <c r="F32" s="7">
        <f>LOG(G32)+H32</f>
        <v>-3.4025731271215163</v>
      </c>
      <c r="G32" s="8">
        <f>M32*K32/L32</f>
        <v>6.178558372505426E-4</v>
      </c>
      <c r="H32" s="7">
        <f>-0.4-0.67*LOG(J32)</f>
        <v>-0.19346028119054631</v>
      </c>
      <c r="I32" s="7">
        <f>0.75-1.27*LOG(J32)</f>
        <v>1.141500661026875</v>
      </c>
      <c r="J32" s="4">
        <f t="shared" si="15"/>
        <v>0.49173572691080875</v>
      </c>
      <c r="K32" s="8">
        <f t="shared" si="16"/>
        <v>4.0624248255953815E-5</v>
      </c>
      <c r="L32" s="9">
        <f t="shared" si="17"/>
        <v>116126973303923.45</v>
      </c>
      <c r="M32" s="8">
        <f>$B$7*O32^$B$8*EXP(-$B$9/1.987/O32)</f>
        <v>1766179840818384.2</v>
      </c>
      <c r="N32" s="7">
        <f>10000/O32</f>
        <v>6.666666666666667</v>
      </c>
      <c r="O32" s="12">
        <v>1500</v>
      </c>
      <c r="P32" s="13"/>
      <c r="Q32" s="8">
        <f>L32/(1+L32/M32/K32)*D32</f>
        <v>62908464832.962151</v>
      </c>
      <c r="R32" s="8"/>
      <c r="S32" s="6"/>
      <c r="Y32" s="6"/>
      <c r="AI32" s="6"/>
    </row>
    <row r="33" spans="4:44" ht="15.75">
      <c r="D33" s="7">
        <f>10^E33</f>
        <v>0.88518939363232785</v>
      </c>
      <c r="E33" s="7">
        <f>LOG(J33)/(1+(F33/(I33-0.14*F33))^2)</f>
        <v>-5.2963798443999378E-2</v>
      </c>
      <c r="F33" s="7">
        <f>LOG(G33)+H33</f>
        <v>-3.6390661442258381</v>
      </c>
      <c r="G33" s="8">
        <f>M33*K33/L33</f>
        <v>3.576219876309973E-4</v>
      </c>
      <c r="H33" s="7">
        <f>-0.4-0.67*LOG(J33)</f>
        <v>-0.19249035684762902</v>
      </c>
      <c r="I33" s="7">
        <f>0.75-1.27*LOG(J33)</f>
        <v>1.1433391743335988</v>
      </c>
      <c r="J33" s="4">
        <f t="shared" si="15"/>
        <v>0.49009933665337763</v>
      </c>
      <c r="K33" s="8">
        <f t="shared" si="16"/>
        <v>3.3853540213294842E-5</v>
      </c>
      <c r="L33" s="9">
        <f t="shared" si="17"/>
        <v>125826714030766.56</v>
      </c>
      <c r="M33" s="8">
        <f>$B$7*O33^$B$8*EXP(-$B$9/1.987/O33)</f>
        <v>1329208091243828.7</v>
      </c>
      <c r="N33" s="7">
        <f>10000/O33</f>
        <v>5.5555555555555554</v>
      </c>
      <c r="O33" s="12">
        <v>1800</v>
      </c>
      <c r="P33" s="13"/>
      <c r="Q33" s="8">
        <f>L33/(1+L33/M33/K33)*D33</f>
        <v>39817866284.211937</v>
      </c>
      <c r="R33" s="8"/>
      <c r="S33" s="6"/>
      <c r="Y33" s="10"/>
      <c r="AI33" s="6"/>
    </row>
    <row r="34" spans="4:44">
      <c r="D34" s="2" t="s">
        <v>4</v>
      </c>
      <c r="E34" s="2" t="s">
        <v>5</v>
      </c>
      <c r="F34" t="s">
        <v>6</v>
      </c>
      <c r="G34" s="6" t="s">
        <v>7</v>
      </c>
      <c r="H34" s="2" t="s">
        <v>8</v>
      </c>
      <c r="I34" t="s">
        <v>9</v>
      </c>
      <c r="J34" t="s">
        <v>10</v>
      </c>
      <c r="K34" s="6" t="s">
        <v>11</v>
      </c>
      <c r="L34" s="6" t="s">
        <v>12</v>
      </c>
      <c r="M34" s="6" t="s">
        <v>13</v>
      </c>
      <c r="N34" s="2" t="s">
        <v>14</v>
      </c>
      <c r="P34">
        <f>760*7</f>
        <v>5320</v>
      </c>
      <c r="Q34" s="6" t="s">
        <v>16</v>
      </c>
      <c r="S34" s="6"/>
      <c r="Y34" s="10"/>
      <c r="AI34" s="6"/>
    </row>
    <row r="35" spans="4:44" ht="15.75">
      <c r="D35" s="2">
        <f t="shared" ref="D35:D45" si="22">10^E35</f>
        <v>0.71209493851898331</v>
      </c>
      <c r="E35" s="2">
        <f t="shared" ref="E35:E45" si="23">LOG(J35)/(1+(F35/(I35-0.14*F35))^2)</f>
        <v>-0.14746210112963654</v>
      </c>
      <c r="F35" s="2">
        <f t="shared" ref="F35:F45" si="24">LOG(G35)+H35</f>
        <v>-1.3575879347864839</v>
      </c>
      <c r="G35" s="6">
        <f t="shared" ref="G35:G45" si="25">M35*K35/L35</f>
        <v>6.9145719160619651E-2</v>
      </c>
      <c r="H35" s="2">
        <f>-0.4-0.67*LOG(J35)</f>
        <v>-0.19735323271742669</v>
      </c>
      <c r="I35" s="2">
        <f t="shared" ref="I35:I45" si="26">0.75-1.27*LOG(J35)</f>
        <v>1.134121484252042</v>
      </c>
      <c r="J35" s="4">
        <f t="shared" ref="J35:J47" si="27">(1-$B$10)*EXP(-O35/$B$11)+$B$10*EXP(-O35/$B$12)+EXP(-B$13/O35)</f>
        <v>0.49835880799214288</v>
      </c>
      <c r="K35" s="6">
        <f t="shared" ref="K35:K45" si="28">$P$34*101325/760/8.314/O35/1000000</f>
        <v>2.8436973779167668E-4</v>
      </c>
      <c r="L35" s="9">
        <f t="shared" ref="L35:L47" si="29">B$4*O35^B$5*EXP(-B$6/1.987/O35)</f>
        <v>57198719309897.531</v>
      </c>
      <c r="M35" s="6">
        <f t="shared" ref="M35:M45" si="30">$B$7*O35^$B$8*EXP(-$B$9/1.987/O35)</f>
        <v>1.3908113473898094E+16</v>
      </c>
      <c r="N35" s="2">
        <f t="shared" ref="N35:N45" si="31">10000/O35</f>
        <v>33.333333333333336</v>
      </c>
      <c r="O35" s="12">
        <v>300</v>
      </c>
      <c r="P35" s="13"/>
      <c r="Q35" s="6">
        <f t="shared" ref="Q35:Q45" si="32">L35/(1+L35/M35/K35)*D35</f>
        <v>2634223382273.4556</v>
      </c>
      <c r="R35" s="6"/>
      <c r="S35" s="6"/>
      <c r="AI35" s="6"/>
    </row>
    <row r="36" spans="4:44" ht="15.75">
      <c r="D36" s="2">
        <f t="shared" si="22"/>
        <v>0.75386870750577151</v>
      </c>
      <c r="E36" s="2">
        <f t="shared" si="23"/>
        <v>-0.12270428353432324</v>
      </c>
      <c r="F36" s="2">
        <f t="shared" si="24"/>
        <v>-1.6564347830894717</v>
      </c>
      <c r="G36" s="6">
        <f t="shared" si="25"/>
        <v>3.4720211394700898E-2</v>
      </c>
      <c r="H36" s="2">
        <f t="shared" ref="H36:H45" si="33">-0.4-0.67*LOG(J36)</f>
        <v>-0.19701714381260743</v>
      </c>
      <c r="I36" s="2">
        <f t="shared" si="26"/>
        <v>1.1347585482955054</v>
      </c>
      <c r="J36" s="4">
        <f t="shared" si="27"/>
        <v>0.49778351853994257</v>
      </c>
      <c r="K36" s="6">
        <f t="shared" si="28"/>
        <v>2.1327730334375753E-4</v>
      </c>
      <c r="L36" s="9">
        <f t="shared" si="29"/>
        <v>64917135642202.219</v>
      </c>
      <c r="M36" s="6">
        <f t="shared" si="30"/>
        <v>1.0568103765841732E+16</v>
      </c>
      <c r="N36" s="2">
        <f t="shared" si="31"/>
        <v>25</v>
      </c>
      <c r="O36" s="12">
        <v>400</v>
      </c>
      <c r="P36" s="13"/>
      <c r="Q36" s="6">
        <f t="shared" si="32"/>
        <v>1642156311907.1992</v>
      </c>
      <c r="R36" s="6"/>
      <c r="S36" s="6"/>
      <c r="AI36" s="6"/>
    </row>
    <row r="37" spans="4:44" ht="15.75">
      <c r="D37" s="2">
        <f t="shared" si="22"/>
        <v>0.78231273176313709</v>
      </c>
      <c r="E37" s="2">
        <f t="shared" si="23"/>
        <v>-0.10661960176281891</v>
      </c>
      <c r="F37" s="2">
        <f t="shared" si="24"/>
        <v>-1.9049725773368706</v>
      </c>
      <c r="G37" s="6">
        <f t="shared" si="25"/>
        <v>1.9575857812790105E-2</v>
      </c>
      <c r="H37" s="2">
        <f t="shared" si="33"/>
        <v>-0.19669337923919974</v>
      </c>
      <c r="I37" s="2">
        <f t="shared" si="26"/>
        <v>1.1353722512928601</v>
      </c>
      <c r="J37" s="4">
        <f t="shared" si="27"/>
        <v>0.49722995289119098</v>
      </c>
      <c r="K37" s="6">
        <f t="shared" si="28"/>
        <v>1.7062184267500601E-4</v>
      </c>
      <c r="L37" s="9">
        <f t="shared" si="29"/>
        <v>71614300587921.641</v>
      </c>
      <c r="M37" s="6">
        <f t="shared" si="30"/>
        <v>8216482389900526</v>
      </c>
      <c r="N37" s="2">
        <f t="shared" si="31"/>
        <v>20</v>
      </c>
      <c r="O37" s="12">
        <v>500</v>
      </c>
      <c r="P37" s="13"/>
      <c r="Q37" s="6">
        <f t="shared" si="32"/>
        <v>1075675833008.6796</v>
      </c>
      <c r="R37" s="6"/>
      <c r="S37" s="6"/>
      <c r="AI37" s="6"/>
    </row>
    <row r="38" spans="4:44" ht="15.75">
      <c r="D38" s="2">
        <f t="shared" si="22"/>
        <v>0.80267432850848108</v>
      </c>
      <c r="E38" s="2">
        <f t="shared" si="23"/>
        <v>-9.5460626602637905E-2</v>
      </c>
      <c r="F38" s="2">
        <f t="shared" si="24"/>
        <v>-2.1166126022414562</v>
      </c>
      <c r="G38" s="6">
        <f t="shared" si="25"/>
        <v>1.2015931741405477E-2</v>
      </c>
      <c r="H38" s="2">
        <f t="shared" si="33"/>
        <v>-0.19637005482305869</v>
      </c>
      <c r="I38" s="2">
        <f t="shared" si="26"/>
        <v>1.1359851199622619</v>
      </c>
      <c r="J38" s="4">
        <f t="shared" si="27"/>
        <v>0.49667775415809401</v>
      </c>
      <c r="K38" s="6">
        <f t="shared" si="28"/>
        <v>1.4218486889583834E-4</v>
      </c>
      <c r="L38" s="9">
        <f t="shared" si="29"/>
        <v>77596030140271.719</v>
      </c>
      <c r="M38" s="6">
        <f t="shared" si="30"/>
        <v>6557579641280926</v>
      </c>
      <c r="N38" s="2">
        <f t="shared" si="31"/>
        <v>16.666666666666668</v>
      </c>
      <c r="O38" s="12">
        <v>600</v>
      </c>
      <c r="P38" s="13"/>
      <c r="Q38" s="6">
        <f t="shared" si="32"/>
        <v>739518392152.18335</v>
      </c>
      <c r="R38" s="6"/>
      <c r="S38" s="6"/>
      <c r="AI38" s="6"/>
    </row>
    <row r="39" spans="4:44" ht="15.75">
      <c r="D39" s="2">
        <f t="shared" si="22"/>
        <v>0.8179201957025104</v>
      </c>
      <c r="E39" s="2">
        <f t="shared" si="23"/>
        <v>-8.7289068280744619E-2</v>
      </c>
      <c r="F39" s="2">
        <f t="shared" si="24"/>
        <v>-2.3005201572135698</v>
      </c>
      <c r="G39" s="6">
        <f t="shared" si="25"/>
        <v>7.8618832266690968E-3</v>
      </c>
      <c r="H39" s="2">
        <f t="shared" si="33"/>
        <v>-0.19604674612655482</v>
      </c>
      <c r="I39" s="2">
        <f t="shared" si="26"/>
        <v>1.1365979588347395</v>
      </c>
      <c r="J39" s="4">
        <f t="shared" si="27"/>
        <v>0.49612619547182518</v>
      </c>
      <c r="K39" s="6">
        <f t="shared" si="28"/>
        <v>1.2187274476786144E-4</v>
      </c>
      <c r="L39" s="9">
        <f t="shared" si="29"/>
        <v>83041673073623.266</v>
      </c>
      <c r="M39" s="6">
        <f t="shared" si="30"/>
        <v>5356931427905459</v>
      </c>
      <c r="N39" s="2">
        <f t="shared" si="31"/>
        <v>14.285714285714286</v>
      </c>
      <c r="O39" s="12">
        <v>700</v>
      </c>
      <c r="P39" s="13"/>
      <c r="Q39" s="20">
        <f t="shared" si="32"/>
        <v>529825175175.78082</v>
      </c>
      <c r="R39" s="20"/>
      <c r="S39" s="6"/>
      <c r="AI39" s="6"/>
    </row>
    <row r="40" spans="4:44" ht="15.75">
      <c r="D40" s="2">
        <f t="shared" si="22"/>
        <v>0.82976001917818965</v>
      </c>
      <c r="E40" s="2">
        <f t="shared" si="23"/>
        <v>-8.1047494872922177E-2</v>
      </c>
      <c r="F40" s="2">
        <f t="shared" si="24"/>
        <v>-2.4629606578548722</v>
      </c>
      <c r="G40" s="6">
        <f t="shared" si="25"/>
        <v>5.4045903335635569E-3</v>
      </c>
      <c r="H40" s="2">
        <f t="shared" si="33"/>
        <v>-0.19572343799145669</v>
      </c>
      <c r="I40" s="2">
        <f t="shared" si="26"/>
        <v>1.1372107966430598</v>
      </c>
      <c r="J40" s="4">
        <f t="shared" si="27"/>
        <v>0.49557525024545401</v>
      </c>
      <c r="K40" s="6">
        <f t="shared" si="28"/>
        <v>1.0663865167187876E-4</v>
      </c>
      <c r="L40" s="9">
        <f t="shared" si="29"/>
        <v>88066867137719.016</v>
      </c>
      <c r="M40" s="6">
        <f t="shared" si="30"/>
        <v>4463347307730983.5</v>
      </c>
      <c r="N40" s="2">
        <f t="shared" si="31"/>
        <v>12.5</v>
      </c>
      <c r="O40" s="12">
        <v>800</v>
      </c>
      <c r="P40" s="13"/>
      <c r="Q40" s="20">
        <f t="shared" si="32"/>
        <v>392814009883.11542</v>
      </c>
      <c r="R40" s="20"/>
      <c r="S40" s="6"/>
      <c r="U40" s="6"/>
      <c r="V40" s="6"/>
      <c r="AI40" s="6"/>
    </row>
    <row r="41" spans="4:44" ht="15.75">
      <c r="D41" s="2">
        <f t="shared" si="22"/>
        <v>0.83922804065040379</v>
      </c>
      <c r="E41" s="2">
        <f t="shared" si="23"/>
        <v>-7.6120013736936026E-2</v>
      </c>
      <c r="F41" s="2">
        <f t="shared" si="24"/>
        <v>-2.6083420755944795</v>
      </c>
      <c r="G41" s="6">
        <f t="shared" si="25"/>
        <v>3.8641862808256947E-3</v>
      </c>
      <c r="H41" s="2">
        <f t="shared" si="33"/>
        <v>-0.19540012987640834</v>
      </c>
      <c r="I41" s="2">
        <f t="shared" si="26"/>
        <v>1.1378236344133752</v>
      </c>
      <c r="J41" s="4">
        <f t="shared" si="27"/>
        <v>0.49502491687463085</v>
      </c>
      <c r="K41" s="6">
        <f t="shared" si="28"/>
        <v>9.4789912597225562E-5</v>
      </c>
      <c r="L41" s="9">
        <f t="shared" si="29"/>
        <v>92751225604224.75</v>
      </c>
      <c r="M41" s="6">
        <f t="shared" si="30"/>
        <v>3781077581878734.5</v>
      </c>
      <c r="N41" s="2">
        <f t="shared" si="31"/>
        <v>11.111111111111111</v>
      </c>
      <c r="O41" s="12">
        <v>900</v>
      </c>
      <c r="P41" s="13"/>
      <c r="Q41" s="20">
        <f t="shared" si="32"/>
        <v>299628235613.67065</v>
      </c>
      <c r="R41" s="20"/>
      <c r="S41" s="6"/>
      <c r="V41" s="6"/>
      <c r="AI41" s="6"/>
    </row>
    <row r="42" spans="4:44" ht="15.75">
      <c r="D42" s="2">
        <f t="shared" si="22"/>
        <v>0.8469808486389574</v>
      </c>
      <c r="E42" s="2">
        <f t="shared" si="23"/>
        <v>-7.2126409532875052E-2</v>
      </c>
      <c r="F42" s="2">
        <f t="shared" si="24"/>
        <v>-2.7398626415886231</v>
      </c>
      <c r="G42" s="6">
        <f t="shared" si="25"/>
        <v>2.8524246454554149E-3</v>
      </c>
      <c r="H42" s="2">
        <f t="shared" si="33"/>
        <v>-0.19507682176207602</v>
      </c>
      <c r="I42" s="2">
        <f t="shared" si="26"/>
        <v>1.1384364721823335</v>
      </c>
      <c r="J42" s="4">
        <f t="shared" si="27"/>
        <v>0.49447519464696282</v>
      </c>
      <c r="K42" s="6">
        <f t="shared" si="28"/>
        <v>8.5310921337503003E-5</v>
      </c>
      <c r="L42" s="9">
        <f t="shared" si="29"/>
        <v>97152270084712.828</v>
      </c>
      <c r="M42" s="6">
        <f t="shared" si="30"/>
        <v>3248347634826830.5</v>
      </c>
      <c r="N42" s="2">
        <f t="shared" si="31"/>
        <v>10</v>
      </c>
      <c r="O42" s="12">
        <v>1000</v>
      </c>
      <c r="P42" s="13"/>
      <c r="Q42" s="6">
        <f t="shared" si="32"/>
        <v>234047331936.20428</v>
      </c>
      <c r="R42" s="6"/>
      <c r="S42" s="6"/>
    </row>
    <row r="43" spans="4:44" ht="15.75">
      <c r="D43" s="2">
        <f t="shared" si="22"/>
        <v>0.85345347844966513</v>
      </c>
      <c r="E43" s="2">
        <f t="shared" si="23"/>
        <v>-6.8820147195116532E-2</v>
      </c>
      <c r="F43" s="2">
        <f t="shared" si="24"/>
        <v>-2.8599085672498252</v>
      </c>
      <c r="G43" s="6">
        <f t="shared" si="25"/>
        <v>2.1619465188854195E-3</v>
      </c>
      <c r="H43" s="2">
        <f t="shared" si="33"/>
        <v>-0.19475351364776933</v>
      </c>
      <c r="I43" s="2">
        <f t="shared" si="26"/>
        <v>1.1390493099512433</v>
      </c>
      <c r="J43" s="4">
        <f t="shared" si="27"/>
        <v>0.49392608288260442</v>
      </c>
      <c r="K43" s="6">
        <f t="shared" si="28"/>
        <v>7.7555383034093631E-5</v>
      </c>
      <c r="L43" s="9">
        <f t="shared" si="29"/>
        <v>101313130365237.22</v>
      </c>
      <c r="M43" s="6">
        <f t="shared" si="30"/>
        <v>2824221362097088</v>
      </c>
      <c r="N43" s="2">
        <f t="shared" si="31"/>
        <v>9.0909090909090917</v>
      </c>
      <c r="O43" s="12">
        <v>1100</v>
      </c>
      <c r="P43" s="13"/>
      <c r="Q43" s="6">
        <f t="shared" si="32"/>
        <v>186531690257.57648</v>
      </c>
      <c r="R43" s="6"/>
      <c r="S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4:44" ht="15.75">
      <c r="D44" s="2">
        <f t="shared" si="22"/>
        <v>0.85894496787588159</v>
      </c>
      <c r="E44" s="2">
        <f t="shared" si="23"/>
        <v>-6.6034660282203811E-2</v>
      </c>
      <c r="F44" s="2">
        <f t="shared" si="24"/>
        <v>-2.9703040687756217</v>
      </c>
      <c r="G44" s="6">
        <f t="shared" si="25"/>
        <v>1.6754294181233174E-3</v>
      </c>
      <c r="H44" s="2">
        <f t="shared" si="33"/>
        <v>-0.19443020553346355</v>
      </c>
      <c r="I44" s="2">
        <f t="shared" si="26"/>
        <v>1.1396621477201512</v>
      </c>
      <c r="J44" s="4">
        <f t="shared" si="27"/>
        <v>0.49337758090359785</v>
      </c>
      <c r="K44" s="6">
        <f t="shared" si="28"/>
        <v>7.1092434447919171E-5</v>
      </c>
      <c r="L44" s="9">
        <f t="shared" si="29"/>
        <v>105267110281052.58</v>
      </c>
      <c r="M44" s="6">
        <f t="shared" si="30"/>
        <v>2480821126682758.5</v>
      </c>
      <c r="N44" s="2">
        <f t="shared" si="31"/>
        <v>8.3333333333333339</v>
      </c>
      <c r="O44" s="12">
        <v>1200</v>
      </c>
      <c r="P44" s="13"/>
      <c r="Q44" s="6">
        <f t="shared" si="32"/>
        <v>151236687566.94611</v>
      </c>
      <c r="R44" s="6"/>
      <c r="S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4:44" ht="15.75">
      <c r="D45" s="2">
        <f t="shared" si="22"/>
        <v>0.86366744815061691</v>
      </c>
      <c r="E45" s="2">
        <f t="shared" si="23"/>
        <v>-6.3653448765083789E-2</v>
      </c>
      <c r="F45" s="2">
        <f t="shared" si="24"/>
        <v>-3.0724733648654703</v>
      </c>
      <c r="G45" s="6">
        <f t="shared" si="25"/>
        <v>1.3232244973945485E-3</v>
      </c>
      <c r="H45" s="2">
        <f t="shared" si="33"/>
        <v>-0.19410689741915779</v>
      </c>
      <c r="I45" s="2">
        <f t="shared" si="26"/>
        <v>1.140274985489059</v>
      </c>
      <c r="J45" s="4">
        <f t="shared" si="27"/>
        <v>0.49282968803277855</v>
      </c>
      <c r="K45" s="6">
        <f t="shared" si="28"/>
        <v>6.5623785644233079E-5</v>
      </c>
      <c r="L45" s="9">
        <f t="shared" si="29"/>
        <v>109040548617475.11</v>
      </c>
      <c r="M45" s="6">
        <f t="shared" si="30"/>
        <v>2198671163565583</v>
      </c>
      <c r="N45" s="2">
        <f t="shared" si="31"/>
        <v>7.6923076923076925</v>
      </c>
      <c r="O45" s="12">
        <v>1300</v>
      </c>
      <c r="P45" s="13"/>
      <c r="Q45" s="6">
        <f t="shared" si="32"/>
        <v>124449690955.97658</v>
      </c>
      <c r="R45" s="6"/>
      <c r="S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4:44" ht="15.75">
      <c r="D46" s="2">
        <f>10^E46</f>
        <v>0.87138455916969648</v>
      </c>
      <c r="E46" s="2">
        <f>LOG(J46)/(1+(F46/(I46-0.14*F46))^2)</f>
        <v>-5.9790139978426499E-2</v>
      </c>
      <c r="F46" s="2">
        <f>LOG(G46)+H46</f>
        <v>-3.2564450914432785</v>
      </c>
      <c r="G46" s="6">
        <f>M46*K46/L46</f>
        <v>8.6499817215075954E-4</v>
      </c>
      <c r="H46" s="2">
        <f>-0.4-0.67*LOG(J46)</f>
        <v>-0.19346028119054631</v>
      </c>
      <c r="I46" s="2">
        <f>0.75-1.27*LOG(J46)</f>
        <v>1.141500661026875</v>
      </c>
      <c r="J46" s="4">
        <f t="shared" si="27"/>
        <v>0.49173572691080875</v>
      </c>
      <c r="K46" s="6">
        <f>$P$34*101325/760/8.314/O46/1000000</f>
        <v>5.687394755833534E-5</v>
      </c>
      <c r="L46" s="9">
        <f t="shared" si="29"/>
        <v>116126973303923.45</v>
      </c>
      <c r="M46" s="6">
        <f>$B$7*O46^$B$8*EXP(-$B$9/1.987/O46)</f>
        <v>1766179840818384.2</v>
      </c>
      <c r="N46" s="2">
        <f>10000/O46</f>
        <v>6.666666666666667</v>
      </c>
      <c r="O46" s="12">
        <v>1500</v>
      </c>
      <c r="P46" s="13"/>
      <c r="Q46" s="6">
        <f>L46/(1+L46/M46/K46)*D46</f>
        <v>87454599464.694916</v>
      </c>
      <c r="R46" s="6"/>
      <c r="S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4:44" ht="15.75">
      <c r="D47" s="2">
        <f>10^E47</f>
        <v>0.88000221426783287</v>
      </c>
      <c r="E47" s="2">
        <f>LOG(J47)/(1+(F47/(I47-0.14*F47))^2)</f>
        <v>-5.5516235073591109E-2</v>
      </c>
      <c r="F47" s="2">
        <f>LOG(G47)+H47</f>
        <v>-3.4929381085475999</v>
      </c>
      <c r="G47" s="6">
        <f>M47*K47/L47</f>
        <v>5.0067078268339622E-4</v>
      </c>
      <c r="H47" s="2">
        <f>-0.4-0.67*LOG(J47)</f>
        <v>-0.19249035684762902</v>
      </c>
      <c r="I47" s="2">
        <f>0.75-1.27*LOG(J47)</f>
        <v>1.1433391743335988</v>
      </c>
      <c r="J47" s="4">
        <f t="shared" si="27"/>
        <v>0.49009933665337763</v>
      </c>
      <c r="K47" s="6">
        <f>$P$34*101325/760/8.314/O47/1000000</f>
        <v>4.7394956298612781E-5</v>
      </c>
      <c r="L47" s="9">
        <f t="shared" si="29"/>
        <v>125826714030766.56</v>
      </c>
      <c r="M47" s="6">
        <f>$B$7*O47^$B$8*EXP(-$B$9/1.987/O47)</f>
        <v>1329208091243828.7</v>
      </c>
      <c r="N47" s="2">
        <f>10000/O47</f>
        <v>5.5555555555555554</v>
      </c>
      <c r="O47" s="12">
        <v>1800</v>
      </c>
      <c r="P47" s="13"/>
      <c r="Q47" s="6">
        <f>L47/(1+L47/M47/K47)*D47</f>
        <v>55410425381.579681</v>
      </c>
      <c r="R47" s="6"/>
      <c r="S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4:44">
      <c r="D48" s="2" t="s">
        <v>4</v>
      </c>
      <c r="E48" s="2" t="s">
        <v>5</v>
      </c>
      <c r="F48" t="s">
        <v>6</v>
      </c>
      <c r="G48" s="6" t="s">
        <v>7</v>
      </c>
      <c r="H48" s="2" t="s">
        <v>8</v>
      </c>
      <c r="I48" t="s">
        <v>9</v>
      </c>
      <c r="J48" t="s">
        <v>10</v>
      </c>
      <c r="K48" s="6" t="s">
        <v>11</v>
      </c>
      <c r="L48" s="6" t="s">
        <v>12</v>
      </c>
      <c r="M48" s="6" t="s">
        <v>13</v>
      </c>
      <c r="N48" s="2" t="s">
        <v>14</v>
      </c>
      <c r="P48">
        <f>760*8</f>
        <v>6080</v>
      </c>
      <c r="Q48" s="6" t="s">
        <v>16</v>
      </c>
      <c r="S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4:44" ht="15.75">
      <c r="D49" s="2">
        <f t="shared" ref="D49:D59" si="34">10^E49</f>
        <v>0.70285669359300695</v>
      </c>
      <c r="E49" s="2">
        <f t="shared" ref="E49:E59" si="35">LOG(J49)/(1+(F49/(I49-0.14*F49))^2)</f>
        <v>-0.15313321484668971</v>
      </c>
      <c r="F49" s="2">
        <f t="shared" ref="F49:F59" si="36">LOG(G49)+H49</f>
        <v>-1.299595987808797</v>
      </c>
      <c r="G49" s="6">
        <f t="shared" ref="G49:G59" si="37">M49*K49/L49</f>
        <v>7.9023679040708172E-2</v>
      </c>
      <c r="H49" s="2">
        <f>-0.4-0.67*LOG(J49)</f>
        <v>-0.19735323271742669</v>
      </c>
      <c r="I49" s="2">
        <f t="shared" ref="I49:I59" si="38">0.75-1.27*LOG(J49)</f>
        <v>1.134121484252042</v>
      </c>
      <c r="J49" s="4">
        <f t="shared" ref="J49:J61" si="39">(1-$B$10)*EXP(-O49/$B$11)+$B$10*EXP(-O49/$B$12)+EXP(-B$13/O49)</f>
        <v>0.49835880799214288</v>
      </c>
      <c r="K49" s="6">
        <f t="shared" ref="K49:K59" si="40">$P$48*101325/760/8.314/O49/1000000</f>
        <v>3.2499398604763052E-4</v>
      </c>
      <c r="L49" s="9">
        <f t="shared" ref="L49:L61" si="41">B$4*O49^B$5*EXP(-B$6/1.987/O49)</f>
        <v>57198719309897.531</v>
      </c>
      <c r="M49" s="6">
        <f t="shared" ref="M49:M59" si="42">$B$7*O49^$B$8*EXP(-$B$9/1.987/O49)</f>
        <v>1.3908113473898094E+16</v>
      </c>
      <c r="N49" s="2">
        <f t="shared" ref="N49:N59" si="43">10000/O49</f>
        <v>33.333333333333336</v>
      </c>
      <c r="O49" s="12">
        <v>300</v>
      </c>
      <c r="P49" s="13"/>
      <c r="Q49" s="6">
        <f t="shared" ref="Q49:Q58" si="44">L49/(1+L49/M49/K49)*D49</f>
        <v>2944281700420.1431</v>
      </c>
      <c r="R49" s="6"/>
      <c r="S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4:44" ht="15.75">
      <c r="D50" s="2">
        <f t="shared" si="34"/>
        <v>0.74634368072486645</v>
      </c>
      <c r="E50" s="2">
        <f t="shared" si="35"/>
        <v>-0.12706113999204788</v>
      </c>
      <c r="F50" s="2">
        <f t="shared" si="36"/>
        <v>-1.5984428361117851</v>
      </c>
      <c r="G50" s="6">
        <f t="shared" si="37"/>
        <v>3.9680241593943878E-2</v>
      </c>
      <c r="H50" s="2">
        <f t="shared" ref="H50:H59" si="45">-0.4-0.67*LOG(J50)</f>
        <v>-0.19701714381260743</v>
      </c>
      <c r="I50" s="2">
        <f t="shared" si="38"/>
        <v>1.1347585482955054</v>
      </c>
      <c r="J50" s="4">
        <f t="shared" si="39"/>
        <v>0.49778351853994257</v>
      </c>
      <c r="K50" s="6">
        <f t="shared" si="40"/>
        <v>2.4374548953572288E-4</v>
      </c>
      <c r="L50" s="9">
        <f t="shared" si="41"/>
        <v>64917135642202.219</v>
      </c>
      <c r="M50" s="6">
        <f t="shared" si="42"/>
        <v>1.0568103765841732E+16</v>
      </c>
      <c r="N50" s="2">
        <f t="shared" si="43"/>
        <v>25</v>
      </c>
      <c r="O50" s="12">
        <v>400</v>
      </c>
      <c r="P50" s="13"/>
      <c r="Q50" s="6">
        <f t="shared" si="44"/>
        <v>1849152488100.3765</v>
      </c>
      <c r="R50" s="6"/>
      <c r="S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4:44" ht="15.75">
      <c r="D51" s="2">
        <f t="shared" si="34"/>
        <v>0.77603667003543475</v>
      </c>
      <c r="E51" s="2">
        <f t="shared" si="35"/>
        <v>-0.11011775655396518</v>
      </c>
      <c r="F51" s="2">
        <f t="shared" si="36"/>
        <v>-1.8469806303591838</v>
      </c>
      <c r="G51" s="6">
        <f t="shared" si="37"/>
        <v>2.2372408928902979E-2</v>
      </c>
      <c r="H51" s="2">
        <f t="shared" si="45"/>
        <v>-0.19669337923919974</v>
      </c>
      <c r="I51" s="2">
        <f t="shared" si="38"/>
        <v>1.1353722512928601</v>
      </c>
      <c r="J51" s="4">
        <f t="shared" si="39"/>
        <v>0.49722995289119098</v>
      </c>
      <c r="K51" s="6">
        <f t="shared" si="40"/>
        <v>1.949963916285783E-4</v>
      </c>
      <c r="L51" s="9">
        <f t="shared" si="41"/>
        <v>71614300587921.641</v>
      </c>
      <c r="M51" s="6">
        <f t="shared" si="42"/>
        <v>8216482389900526</v>
      </c>
      <c r="N51" s="2">
        <f t="shared" si="43"/>
        <v>20</v>
      </c>
      <c r="O51" s="12">
        <v>500</v>
      </c>
      <c r="P51" s="13"/>
      <c r="Q51" s="6">
        <f t="shared" si="44"/>
        <v>1216145750412.4421</v>
      </c>
      <c r="R51" s="6"/>
      <c r="S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4:44" ht="15.75">
      <c r="D52" s="2">
        <f t="shared" si="34"/>
        <v>0.79730093713869121</v>
      </c>
      <c r="E52" s="2">
        <f t="shared" si="35"/>
        <v>-9.8377725441418651E-2</v>
      </c>
      <c r="F52" s="2">
        <f t="shared" si="36"/>
        <v>-2.0586206552637694</v>
      </c>
      <c r="G52" s="6">
        <f t="shared" si="37"/>
        <v>1.3732493418749119E-2</v>
      </c>
      <c r="H52" s="2">
        <f t="shared" si="45"/>
        <v>-0.19637005482305869</v>
      </c>
      <c r="I52" s="2">
        <f t="shared" si="38"/>
        <v>1.1359851199622619</v>
      </c>
      <c r="J52" s="4">
        <f t="shared" si="39"/>
        <v>0.49667775415809401</v>
      </c>
      <c r="K52" s="6">
        <f t="shared" si="40"/>
        <v>1.6249699302381526E-4</v>
      </c>
      <c r="L52" s="9">
        <f t="shared" si="41"/>
        <v>77596030140271.719</v>
      </c>
      <c r="M52" s="6">
        <f t="shared" si="42"/>
        <v>6557579641280926</v>
      </c>
      <c r="N52" s="2">
        <f t="shared" si="43"/>
        <v>16.666666666666668</v>
      </c>
      <c r="O52" s="12">
        <v>600</v>
      </c>
      <c r="P52" s="13"/>
      <c r="Q52" s="6">
        <f t="shared" si="44"/>
        <v>838084502438.85559</v>
      </c>
      <c r="R52" s="6"/>
      <c r="S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4:44" ht="15.75">
      <c r="D53" s="2">
        <f t="shared" si="34"/>
        <v>0.81321585122667106</v>
      </c>
      <c r="E53" s="2">
        <f t="shared" si="35"/>
        <v>-8.9794164671011228E-2</v>
      </c>
      <c r="F53" s="2">
        <f t="shared" si="36"/>
        <v>-2.242528210235883</v>
      </c>
      <c r="G53" s="6">
        <f t="shared" si="37"/>
        <v>8.9850094019075389E-3</v>
      </c>
      <c r="H53" s="2">
        <f t="shared" si="45"/>
        <v>-0.19604674612655482</v>
      </c>
      <c r="I53" s="2">
        <f t="shared" si="38"/>
        <v>1.1365979588347395</v>
      </c>
      <c r="J53" s="4">
        <f t="shared" si="39"/>
        <v>0.49612619547182518</v>
      </c>
      <c r="K53" s="6">
        <f t="shared" si="40"/>
        <v>1.3928313687755592E-4</v>
      </c>
      <c r="L53" s="9">
        <f t="shared" si="41"/>
        <v>83041673073623.266</v>
      </c>
      <c r="M53" s="6">
        <f t="shared" si="42"/>
        <v>5356931427905459</v>
      </c>
      <c r="N53" s="2">
        <f t="shared" si="43"/>
        <v>14.285714285714286</v>
      </c>
      <c r="O53" s="12">
        <v>700</v>
      </c>
      <c r="P53" s="13"/>
      <c r="Q53" s="6">
        <f t="shared" si="44"/>
        <v>601361676233.32349</v>
      </c>
      <c r="R53" s="6"/>
      <c r="S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4:44" ht="15.75">
      <c r="D54" s="2">
        <f t="shared" si="34"/>
        <v>0.8255663889820295</v>
      </c>
      <c r="E54" s="2">
        <f t="shared" si="35"/>
        <v>-8.3247996648034922E-2</v>
      </c>
      <c r="F54" s="2">
        <f t="shared" si="36"/>
        <v>-2.4049687108771853</v>
      </c>
      <c r="G54" s="6">
        <f t="shared" si="37"/>
        <v>6.1766746669297788E-3</v>
      </c>
      <c r="H54" s="2">
        <f t="shared" si="45"/>
        <v>-0.19572343799145669</v>
      </c>
      <c r="I54" s="2">
        <f t="shared" si="38"/>
        <v>1.1372107966430598</v>
      </c>
      <c r="J54" s="4">
        <f t="shared" si="39"/>
        <v>0.49557525024545401</v>
      </c>
      <c r="K54" s="6">
        <f t="shared" si="40"/>
        <v>1.2187274476786144E-4</v>
      </c>
      <c r="L54" s="9">
        <f t="shared" si="41"/>
        <v>88066867137719.016</v>
      </c>
      <c r="M54" s="6">
        <f t="shared" si="42"/>
        <v>4463347307730983.5</v>
      </c>
      <c r="N54" s="2">
        <f t="shared" si="43"/>
        <v>12.5</v>
      </c>
      <c r="O54" s="12">
        <v>800</v>
      </c>
      <c r="P54" s="13"/>
      <c r="Q54" s="20">
        <f t="shared" si="44"/>
        <v>446318647563.68256</v>
      </c>
      <c r="R54" s="20"/>
      <c r="S54" s="6"/>
    </row>
    <row r="55" spans="4:44" ht="15.75">
      <c r="D55" s="2">
        <f t="shared" si="34"/>
        <v>0.83543497026006575</v>
      </c>
      <c r="E55" s="2">
        <f t="shared" si="35"/>
        <v>-7.8087349668084324E-2</v>
      </c>
      <c r="F55" s="2">
        <f t="shared" si="36"/>
        <v>-2.5503501286167927</v>
      </c>
      <c r="G55" s="6">
        <f t="shared" si="37"/>
        <v>4.4162128923722231E-3</v>
      </c>
      <c r="H55" s="2">
        <f t="shared" si="45"/>
        <v>-0.19540012987640834</v>
      </c>
      <c r="I55" s="2">
        <f t="shared" si="38"/>
        <v>1.1378236344133752</v>
      </c>
      <c r="J55" s="4">
        <f t="shared" si="39"/>
        <v>0.49502491687463085</v>
      </c>
      <c r="K55" s="6">
        <f t="shared" si="40"/>
        <v>1.0833132868254351E-4</v>
      </c>
      <c r="L55" s="9">
        <f t="shared" si="41"/>
        <v>92751225604224.75</v>
      </c>
      <c r="M55" s="6">
        <f t="shared" si="42"/>
        <v>3781077581878734.5</v>
      </c>
      <c r="N55" s="2">
        <f t="shared" si="43"/>
        <v>11.111111111111111</v>
      </c>
      <c r="O55" s="12">
        <v>900</v>
      </c>
      <c r="P55" s="13"/>
      <c r="Q55" s="20">
        <f t="shared" si="44"/>
        <v>340697223508.99994</v>
      </c>
      <c r="R55" s="20"/>
      <c r="S55" s="6"/>
    </row>
    <row r="56" spans="4:44" ht="15.75">
      <c r="D56" s="2">
        <f t="shared" si="34"/>
        <v>0.84350941628149212</v>
      </c>
      <c r="E56" s="2">
        <f t="shared" si="35"/>
        <v>-7.3910064922791521E-2</v>
      </c>
      <c r="F56" s="2">
        <f t="shared" si="36"/>
        <v>-2.6818706946109363</v>
      </c>
      <c r="G56" s="6">
        <f t="shared" si="37"/>
        <v>3.2599138805204735E-3</v>
      </c>
      <c r="H56" s="2">
        <f t="shared" si="45"/>
        <v>-0.19507682176207602</v>
      </c>
      <c r="I56" s="2">
        <f t="shared" si="38"/>
        <v>1.1384364721823335</v>
      </c>
      <c r="J56" s="4">
        <f t="shared" si="39"/>
        <v>0.49447519464696282</v>
      </c>
      <c r="K56" s="6">
        <f t="shared" si="40"/>
        <v>9.7498195814289148E-5</v>
      </c>
      <c r="L56" s="9">
        <f t="shared" si="41"/>
        <v>97152270084712.828</v>
      </c>
      <c r="M56" s="6">
        <f t="shared" si="42"/>
        <v>3248347634826830.5</v>
      </c>
      <c r="N56" s="2">
        <f t="shared" si="43"/>
        <v>10</v>
      </c>
      <c r="O56" s="12">
        <v>1000</v>
      </c>
      <c r="P56" s="13"/>
      <c r="Q56" s="6">
        <f t="shared" si="44"/>
        <v>266278164814.1586</v>
      </c>
      <c r="R56" s="6"/>
    </row>
    <row r="57" spans="4:44" ht="15.75">
      <c r="D57" s="2">
        <f t="shared" si="34"/>
        <v>0.85024555304571059</v>
      </c>
      <c r="E57" s="2">
        <f t="shared" si="35"/>
        <v>-7.0455630836298411E-2</v>
      </c>
      <c r="F57" s="2">
        <f t="shared" si="36"/>
        <v>-2.8019166202721379</v>
      </c>
      <c r="G57" s="6">
        <f t="shared" si="37"/>
        <v>2.4707960215833375E-3</v>
      </c>
      <c r="H57" s="2">
        <f t="shared" si="45"/>
        <v>-0.19475351364776933</v>
      </c>
      <c r="I57" s="2">
        <f t="shared" si="38"/>
        <v>1.1390493099512433</v>
      </c>
      <c r="J57" s="4">
        <f t="shared" si="39"/>
        <v>0.49392608288260442</v>
      </c>
      <c r="K57" s="6">
        <f t="shared" si="40"/>
        <v>8.86347234675356E-5</v>
      </c>
      <c r="L57" s="9">
        <f t="shared" si="41"/>
        <v>101313130365237.22</v>
      </c>
      <c r="M57" s="6">
        <f t="shared" si="42"/>
        <v>2824221362097088</v>
      </c>
      <c r="N57" s="2">
        <f t="shared" si="43"/>
        <v>9.0909090909090917</v>
      </c>
      <c r="O57" s="12">
        <v>1100</v>
      </c>
      <c r="P57" s="13"/>
      <c r="Q57" s="6">
        <f t="shared" si="44"/>
        <v>212312354842.93723</v>
      </c>
      <c r="R57" s="6"/>
    </row>
    <row r="58" spans="4:44" ht="15.75">
      <c r="D58" s="2">
        <f t="shared" si="34"/>
        <v>0.85595665861149139</v>
      </c>
      <c r="E58" s="2">
        <f t="shared" si="35"/>
        <v>-6.7548225278932006E-2</v>
      </c>
      <c r="F58" s="2">
        <f t="shared" si="36"/>
        <v>-2.9123121217979349</v>
      </c>
      <c r="G58" s="6">
        <f t="shared" si="37"/>
        <v>1.91477647785522E-3</v>
      </c>
      <c r="H58" s="2">
        <f t="shared" si="45"/>
        <v>-0.19443020553346355</v>
      </c>
      <c r="I58" s="2">
        <f t="shared" si="38"/>
        <v>1.1396621477201512</v>
      </c>
      <c r="J58" s="4">
        <f t="shared" si="39"/>
        <v>0.49337758090359785</v>
      </c>
      <c r="K58" s="6">
        <f t="shared" si="40"/>
        <v>8.124849651190763E-5</v>
      </c>
      <c r="L58" s="9">
        <f t="shared" si="41"/>
        <v>105267110281052.58</v>
      </c>
      <c r="M58" s="6">
        <f t="shared" si="42"/>
        <v>2480821126682758.5</v>
      </c>
      <c r="N58" s="2">
        <f t="shared" si="43"/>
        <v>8.3333333333333339</v>
      </c>
      <c r="O58" s="12">
        <v>1200</v>
      </c>
      <c r="P58" s="13"/>
      <c r="Q58" s="6">
        <f t="shared" si="44"/>
        <v>172199457089.55771</v>
      </c>
      <c r="R58" s="6"/>
    </row>
    <row r="59" spans="4:44" ht="15.75">
      <c r="D59" s="2">
        <f t="shared" si="34"/>
        <v>0.86086488582421539</v>
      </c>
      <c r="E59" s="2">
        <f t="shared" si="35"/>
        <v>-6.5065006439073814E-2</v>
      </c>
      <c r="F59" s="2">
        <f t="shared" si="36"/>
        <v>-3.0144814178877835</v>
      </c>
      <c r="G59" s="6">
        <f t="shared" si="37"/>
        <v>1.5122565684509129E-3</v>
      </c>
      <c r="H59" s="2">
        <f t="shared" si="45"/>
        <v>-0.19410689741915779</v>
      </c>
      <c r="I59" s="2">
        <f t="shared" si="38"/>
        <v>1.140274985489059</v>
      </c>
      <c r="J59" s="4">
        <f t="shared" si="39"/>
        <v>0.49282968803277855</v>
      </c>
      <c r="K59" s="6">
        <f t="shared" si="40"/>
        <v>7.4998612164837812E-5</v>
      </c>
      <c r="L59" s="9">
        <f t="shared" si="41"/>
        <v>109040548617475.11</v>
      </c>
      <c r="M59" s="6">
        <f t="shared" si="42"/>
        <v>2198671163565583</v>
      </c>
      <c r="N59" s="2">
        <f t="shared" si="43"/>
        <v>7.6923076923076925</v>
      </c>
      <c r="O59" s="12">
        <v>1300</v>
      </c>
      <c r="P59" s="13"/>
      <c r="Q59" s="6">
        <f>L59/(1+L59/M59/K59)*D59</f>
        <v>141739936027.60504</v>
      </c>
      <c r="R59" s="6"/>
    </row>
    <row r="60" spans="4:44" ht="15.75">
      <c r="D60" s="2">
        <f>10^E60</f>
        <v>0.86887890159560544</v>
      </c>
      <c r="E60" s="2">
        <f>LOG(J60)/(1+(F60/(I60-0.14*F60))^2)</f>
        <v>-6.1040748331089731E-2</v>
      </c>
      <c r="F60" s="2">
        <f>LOG(G60)+H60</f>
        <v>-3.1984531444655917</v>
      </c>
      <c r="G60" s="6">
        <f>M60*K60/L60</f>
        <v>9.8856933960086795E-4</v>
      </c>
      <c r="H60" s="2">
        <f>-0.4-0.67*LOG(J60)</f>
        <v>-0.19346028119054631</v>
      </c>
      <c r="I60" s="2">
        <f>0.75-1.27*LOG(J60)</f>
        <v>1.141500661026875</v>
      </c>
      <c r="J60" s="4">
        <f t="shared" si="39"/>
        <v>0.49173572691080875</v>
      </c>
      <c r="K60" s="6">
        <f>$P$48*101325/760/8.314/O60/1000000</f>
        <v>6.4998797209526099E-5</v>
      </c>
      <c r="L60" s="9">
        <f t="shared" si="41"/>
        <v>116126973303923.45</v>
      </c>
      <c r="M60" s="6">
        <f>$B$7*O60^$B$8*EXP(-$B$9/1.987/O60)</f>
        <v>1766179840818384.2</v>
      </c>
      <c r="N60" s="2">
        <f>10000/O60</f>
        <v>6.666666666666667</v>
      </c>
      <c r="O60" s="12">
        <v>1500</v>
      </c>
      <c r="P60" s="13"/>
      <c r="Q60" s="6">
        <f>L60/(1+L60/M60/K60)*D60</f>
        <v>99648410845.554428</v>
      </c>
      <c r="R60" s="6"/>
    </row>
    <row r="61" spans="4:44" ht="15.75">
      <c r="D61" s="2">
        <f>10^E61</f>
        <v>0.87781776004855683</v>
      </c>
      <c r="E61" s="2">
        <f>LOG(J61)/(1+(F61/(I61-0.14*F61))^2)</f>
        <v>-5.6595636736590939E-2</v>
      </c>
      <c r="F61" s="2">
        <f>LOG(G61)+H61</f>
        <v>-3.4349461615699131</v>
      </c>
      <c r="G61" s="6">
        <f>M61*K61/L61</f>
        <v>5.7219518020959579E-4</v>
      </c>
      <c r="H61" s="2">
        <f>-0.4-0.67*LOG(J61)</f>
        <v>-0.19249035684762902</v>
      </c>
      <c r="I61" s="2">
        <f>0.75-1.27*LOG(J61)</f>
        <v>1.1433391743335988</v>
      </c>
      <c r="J61" s="4">
        <f t="shared" si="39"/>
        <v>0.49009933665337763</v>
      </c>
      <c r="K61" s="6">
        <f>$P$48*101325/760/8.314/O61/1000000</f>
        <v>5.4165664341271753E-5</v>
      </c>
      <c r="L61" s="9">
        <f t="shared" si="41"/>
        <v>125826714030766.56</v>
      </c>
      <c r="M61" s="6">
        <f>$B$7*O61^$B$8*EXP(-$B$9/1.987/O61)</f>
        <v>1329208091243828.7</v>
      </c>
      <c r="N61" s="2">
        <f>10000/O61</f>
        <v>5.5555555555555554</v>
      </c>
      <c r="O61" s="12">
        <v>1800</v>
      </c>
      <c r="P61" s="13"/>
      <c r="Q61" s="6">
        <f>L61/(1+L61/M61/K61)*D61</f>
        <v>63164488488.476425</v>
      </c>
      <c r="R61" s="6"/>
    </row>
    <row r="62" spans="4:44">
      <c r="D62" s="2" t="s">
        <v>4</v>
      </c>
      <c r="E62" s="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P62">
        <f>760*8.7</f>
        <v>6611.9999999999991</v>
      </c>
      <c r="Q62" t="s">
        <v>16</v>
      </c>
    </row>
    <row r="63" spans="4:44" ht="15.75">
      <c r="D63" s="2">
        <f t="shared" ref="D63:D73" si="46">10^E63</f>
        <v>0.69687803482218613</v>
      </c>
      <c r="E63" s="2">
        <f t="shared" ref="E63:E73" si="47">LOG(J63)/(1+(F63/(I63-0.14*F63))^2)</f>
        <v>-0.15684322396604614</v>
      </c>
      <c r="F63" s="2">
        <f t="shared" ref="F63:F73" si="48">LOG(G63)+H63</f>
        <v>-1.2631667221821221</v>
      </c>
      <c r="G63" s="6">
        <f t="shared" ref="G63:G73" si="49">M63*K63/L63</f>
        <v>8.5938250956770115E-2</v>
      </c>
      <c r="H63" s="2">
        <f>-0.4-0.67*LOG(J63)</f>
        <v>-0.19735323271742669</v>
      </c>
      <c r="I63" s="2">
        <f t="shared" ref="I63:I73" si="50">0.75-1.27*LOG(J63)</f>
        <v>1.134121484252042</v>
      </c>
      <c r="J63" s="4">
        <f t="shared" ref="J63:J75" si="51">(1-$B$10)*EXP(-O63/$B$11)+$B$10*EXP(-O63/$B$12)+EXP(-B$13/O63)</f>
        <v>0.49835880799214288</v>
      </c>
      <c r="K63" s="6">
        <f t="shared" ref="K63:K73" si="52">$P$62*101325/760/8.314/O63/1000000</f>
        <v>3.5343095982679813E-4</v>
      </c>
      <c r="L63" s="9">
        <f t="shared" ref="L63:L75" si="53">B$4*O63^B$5*EXP(-B$6/1.987/O63)</f>
        <v>57198719309897.531</v>
      </c>
      <c r="M63" s="6">
        <f t="shared" ref="M63:M73" si="54">$B$7*O63^$B$8*EXP(-$B$9/1.987/O63)</f>
        <v>1.3908113473898094E+16</v>
      </c>
      <c r="N63" s="2">
        <f t="shared" ref="N63:N73" si="55">10000/O63</f>
        <v>33.333333333333336</v>
      </c>
      <c r="O63" s="12">
        <v>300</v>
      </c>
      <c r="P63" s="13"/>
      <c r="Q63" s="20">
        <f t="shared" ref="Q63:Q73" si="56">L63/(1+L63/M63/K63)*D63</f>
        <v>3154455902559.6147</v>
      </c>
      <c r="R63" s="20"/>
      <c r="S63" s="6"/>
    </row>
    <row r="64" spans="4:44" ht="15.75">
      <c r="D64" s="2">
        <f t="shared" si="46"/>
        <v>0.74145325378942217</v>
      </c>
      <c r="E64" s="2">
        <f t="shared" si="47"/>
        <v>-0.12991622462382027</v>
      </c>
      <c r="F64" s="2">
        <f t="shared" si="48"/>
        <v>-1.5620135704851101</v>
      </c>
      <c r="G64" s="6">
        <f t="shared" si="49"/>
        <v>4.3152262733413965E-2</v>
      </c>
      <c r="H64" s="2">
        <f t="shared" ref="H64:H73" si="57">-0.4-0.67*LOG(J64)</f>
        <v>-0.19701714381260743</v>
      </c>
      <c r="I64" s="2">
        <f t="shared" si="50"/>
        <v>1.1347585482955054</v>
      </c>
      <c r="J64" s="4">
        <f t="shared" si="51"/>
        <v>0.49778351853994257</v>
      </c>
      <c r="K64" s="6">
        <f t="shared" si="52"/>
        <v>2.6507321987009858E-4</v>
      </c>
      <c r="L64" s="9">
        <f t="shared" si="53"/>
        <v>64917135642202.219</v>
      </c>
      <c r="M64" s="6">
        <f t="shared" si="54"/>
        <v>1.0568103765841732E+16</v>
      </c>
      <c r="N64" s="2">
        <f t="shared" si="55"/>
        <v>25</v>
      </c>
      <c r="O64" s="12">
        <v>400</v>
      </c>
      <c r="P64" s="13"/>
      <c r="Q64" s="6">
        <f t="shared" si="56"/>
        <v>1991127145964.7383</v>
      </c>
      <c r="R64" s="6"/>
    </row>
    <row r="65" spans="4:19" ht="15.75">
      <c r="D65" s="2">
        <f t="shared" si="46"/>
        <v>0.77195395091011743</v>
      </c>
      <c r="E65" s="2">
        <f t="shared" si="47"/>
        <v>-0.11240860570327076</v>
      </c>
      <c r="F65" s="2">
        <f t="shared" si="48"/>
        <v>-1.8105513647325089</v>
      </c>
      <c r="G65" s="6">
        <f t="shared" si="49"/>
        <v>2.4329994710181983E-2</v>
      </c>
      <c r="H65" s="2">
        <f t="shared" si="57"/>
        <v>-0.19669337923919974</v>
      </c>
      <c r="I65" s="2">
        <f t="shared" si="50"/>
        <v>1.1353722512928601</v>
      </c>
      <c r="J65" s="4">
        <f t="shared" si="51"/>
        <v>0.49722995289119098</v>
      </c>
      <c r="K65" s="6">
        <f t="shared" si="52"/>
        <v>2.1205857589607887E-4</v>
      </c>
      <c r="L65" s="9">
        <f t="shared" si="53"/>
        <v>71614300587921.641</v>
      </c>
      <c r="M65" s="6">
        <f t="shared" si="54"/>
        <v>8216482389900526</v>
      </c>
      <c r="N65" s="2">
        <f t="shared" si="55"/>
        <v>20</v>
      </c>
      <c r="O65" s="12">
        <v>500</v>
      </c>
      <c r="P65" s="13"/>
      <c r="Q65" s="6">
        <f t="shared" si="56"/>
        <v>1313086310265.3567</v>
      </c>
      <c r="R65" s="6"/>
    </row>
    <row r="66" spans="4:19" ht="15.75">
      <c r="D66" s="2">
        <f t="shared" si="46"/>
        <v>0.79380593127604115</v>
      </c>
      <c r="E66" s="2">
        <f t="shared" si="47"/>
        <v>-0.1002856603912745</v>
      </c>
      <c r="F66" s="2">
        <f t="shared" si="48"/>
        <v>-2.0221913896370944</v>
      </c>
      <c r="G66" s="6">
        <f t="shared" si="49"/>
        <v>1.4934086592889665E-2</v>
      </c>
      <c r="H66" s="2">
        <f t="shared" si="57"/>
        <v>-0.19637005482305869</v>
      </c>
      <c r="I66" s="2">
        <f t="shared" si="50"/>
        <v>1.1359851199622619</v>
      </c>
      <c r="J66" s="4">
        <f t="shared" si="51"/>
        <v>0.49667775415809401</v>
      </c>
      <c r="K66" s="6">
        <f t="shared" si="52"/>
        <v>1.7671547991339906E-4</v>
      </c>
      <c r="L66" s="9">
        <f t="shared" si="53"/>
        <v>77596030140271.719</v>
      </c>
      <c r="M66" s="6">
        <f t="shared" si="54"/>
        <v>6557579641280926</v>
      </c>
      <c r="N66" s="2">
        <f t="shared" si="55"/>
        <v>16.666666666666668</v>
      </c>
      <c r="O66" s="12">
        <v>600</v>
      </c>
      <c r="P66" s="13"/>
      <c r="Q66" s="6">
        <f t="shared" si="56"/>
        <v>906347350043.59802</v>
      </c>
      <c r="R66" s="6"/>
    </row>
    <row r="67" spans="4:19" ht="15.75">
      <c r="D67" s="2">
        <f t="shared" si="46"/>
        <v>0.81015769910009516</v>
      </c>
      <c r="E67" s="2">
        <f t="shared" si="47"/>
        <v>-9.1430436451128611E-2</v>
      </c>
      <c r="F67" s="2">
        <f t="shared" si="48"/>
        <v>-2.2060989446092081</v>
      </c>
      <c r="G67" s="6">
        <f t="shared" si="49"/>
        <v>9.7711977245744461E-3</v>
      </c>
      <c r="H67" s="2">
        <f t="shared" si="57"/>
        <v>-0.19604674612655482</v>
      </c>
      <c r="I67" s="2">
        <f t="shared" si="50"/>
        <v>1.1365979588347395</v>
      </c>
      <c r="J67" s="4">
        <f t="shared" si="51"/>
        <v>0.49612619547182518</v>
      </c>
      <c r="K67" s="6">
        <f t="shared" si="52"/>
        <v>1.5147041135434204E-4</v>
      </c>
      <c r="L67" s="9">
        <f t="shared" si="53"/>
        <v>83041673073623.266</v>
      </c>
      <c r="M67" s="6">
        <f t="shared" si="54"/>
        <v>5356931427905459</v>
      </c>
      <c r="N67" s="2">
        <f t="shared" si="55"/>
        <v>14.285714285714286</v>
      </c>
      <c r="O67" s="12">
        <v>700</v>
      </c>
      <c r="P67" s="13"/>
      <c r="Q67" s="6">
        <f t="shared" si="56"/>
        <v>651014222633.15723</v>
      </c>
      <c r="R67" s="6"/>
    </row>
    <row r="68" spans="4:19" ht="15.75">
      <c r="D68" s="2">
        <f t="shared" si="46"/>
        <v>0.82284211207687541</v>
      </c>
      <c r="E68" s="2">
        <f t="shared" si="47"/>
        <v>-8.4683489735462844E-2</v>
      </c>
      <c r="F68" s="2">
        <f t="shared" si="48"/>
        <v>-2.3685394452505104</v>
      </c>
      <c r="G68" s="6">
        <f t="shared" si="49"/>
        <v>6.717133700286133E-3</v>
      </c>
      <c r="H68" s="2">
        <f t="shared" si="57"/>
        <v>-0.19572343799145669</v>
      </c>
      <c r="I68" s="2">
        <f t="shared" si="50"/>
        <v>1.1372107966430598</v>
      </c>
      <c r="J68" s="4">
        <f t="shared" si="51"/>
        <v>0.49557525024545401</v>
      </c>
      <c r="K68" s="6">
        <f t="shared" si="52"/>
        <v>1.3253660993504929E-4</v>
      </c>
      <c r="L68" s="9">
        <f t="shared" si="53"/>
        <v>88066867137719.016</v>
      </c>
      <c r="M68" s="6">
        <f t="shared" si="54"/>
        <v>4463347307730983.5</v>
      </c>
      <c r="N68" s="2">
        <f t="shared" si="55"/>
        <v>12.5</v>
      </c>
      <c r="O68" s="12">
        <v>800</v>
      </c>
      <c r="P68" s="13"/>
      <c r="Q68" s="6">
        <f t="shared" si="56"/>
        <v>483510144112.35669</v>
      </c>
      <c r="R68" s="6"/>
    </row>
    <row r="69" spans="4:19" ht="15.75">
      <c r="D69" s="2">
        <f t="shared" si="46"/>
        <v>0.83297266837488726</v>
      </c>
      <c r="E69" s="2">
        <f t="shared" si="47"/>
        <v>-7.9369248495619896E-2</v>
      </c>
      <c r="F69" s="2">
        <f t="shared" si="48"/>
        <v>-2.5139208629901177</v>
      </c>
      <c r="G69" s="6">
        <f t="shared" si="49"/>
        <v>4.802631520454792E-3</v>
      </c>
      <c r="H69" s="2">
        <f t="shared" si="57"/>
        <v>-0.19540012987640834</v>
      </c>
      <c r="I69" s="2">
        <f t="shared" si="50"/>
        <v>1.1378236344133752</v>
      </c>
      <c r="J69" s="4">
        <f t="shared" si="51"/>
        <v>0.49502491687463085</v>
      </c>
      <c r="K69" s="6">
        <f t="shared" si="52"/>
        <v>1.1781031994226604E-4</v>
      </c>
      <c r="L69" s="9">
        <f t="shared" si="53"/>
        <v>92751225604224.75</v>
      </c>
      <c r="M69" s="6">
        <f t="shared" si="54"/>
        <v>3781077581878734.5</v>
      </c>
      <c r="N69" s="2">
        <f t="shared" si="55"/>
        <v>11.111111111111111</v>
      </c>
      <c r="O69" s="12">
        <v>900</v>
      </c>
      <c r="P69" s="13"/>
      <c r="Q69" s="6">
        <f t="shared" si="56"/>
        <v>369274153824.35388</v>
      </c>
      <c r="R69" s="6"/>
    </row>
    <row r="70" spans="4:19" ht="15.75">
      <c r="D70" s="2">
        <f t="shared" si="46"/>
        <v>0.84125747929510875</v>
      </c>
      <c r="E70" s="2">
        <f t="shared" si="47"/>
        <v>-7.5071061606415551E-2</v>
      </c>
      <c r="F70" s="2">
        <f t="shared" si="48"/>
        <v>-2.6454414289842614</v>
      </c>
      <c r="G70" s="6">
        <f t="shared" si="49"/>
        <v>3.5451563450660147E-3</v>
      </c>
      <c r="H70" s="2">
        <f t="shared" si="57"/>
        <v>-0.19507682176207602</v>
      </c>
      <c r="I70" s="2">
        <f t="shared" si="50"/>
        <v>1.1384364721823335</v>
      </c>
      <c r="J70" s="4">
        <f t="shared" si="51"/>
        <v>0.49447519464696282</v>
      </c>
      <c r="K70" s="6">
        <f t="shared" si="52"/>
        <v>1.0602928794803943E-4</v>
      </c>
      <c r="L70" s="9">
        <f t="shared" si="53"/>
        <v>97152270084712.828</v>
      </c>
      <c r="M70" s="6">
        <f t="shared" si="54"/>
        <v>3248347634826830.5</v>
      </c>
      <c r="N70" s="2">
        <f t="shared" si="55"/>
        <v>10</v>
      </c>
      <c r="O70" s="12">
        <v>1000</v>
      </c>
      <c r="P70" s="13"/>
      <c r="Q70" s="6">
        <f t="shared" si="56"/>
        <v>288722324074.82141</v>
      </c>
      <c r="R70" s="6"/>
    </row>
    <row r="71" spans="4:19" ht="15.75">
      <c r="D71" s="2">
        <f t="shared" si="46"/>
        <v>0.84816592994348328</v>
      </c>
      <c r="E71" s="2">
        <f t="shared" si="47"/>
        <v>-7.1519176741575721E-2</v>
      </c>
      <c r="F71" s="2">
        <f t="shared" si="48"/>
        <v>-2.7654873546454635</v>
      </c>
      <c r="G71" s="6">
        <f t="shared" si="49"/>
        <v>2.6869906734718787E-3</v>
      </c>
      <c r="H71" s="2">
        <f t="shared" si="57"/>
        <v>-0.19475351364776933</v>
      </c>
      <c r="I71" s="2">
        <f t="shared" si="50"/>
        <v>1.1390493099512433</v>
      </c>
      <c r="J71" s="4">
        <f t="shared" si="51"/>
        <v>0.49392608288260442</v>
      </c>
      <c r="K71" s="6">
        <f t="shared" si="52"/>
        <v>9.6390261770944944E-5</v>
      </c>
      <c r="L71" s="9">
        <f t="shared" si="53"/>
        <v>101313130365237.22</v>
      </c>
      <c r="M71" s="6">
        <f t="shared" si="54"/>
        <v>2824221362097088</v>
      </c>
      <c r="N71" s="2">
        <f t="shared" si="55"/>
        <v>9.0909090909090917</v>
      </c>
      <c r="O71" s="12">
        <v>1100</v>
      </c>
      <c r="P71" s="13"/>
      <c r="Q71" s="6">
        <f t="shared" si="56"/>
        <v>230275289188.85834</v>
      </c>
      <c r="R71" s="6"/>
    </row>
    <row r="72" spans="4:19" ht="15.75">
      <c r="D72" s="2">
        <f t="shared" si="46"/>
        <v>0.85402060645737687</v>
      </c>
      <c r="E72" s="2">
        <f t="shared" si="47"/>
        <v>-6.8531650197690419E-2</v>
      </c>
      <c r="F72" s="2">
        <f t="shared" si="48"/>
        <v>-2.8758828561712599</v>
      </c>
      <c r="G72" s="6">
        <f t="shared" si="49"/>
        <v>2.0823194196675512E-3</v>
      </c>
      <c r="H72" s="2">
        <f t="shared" si="57"/>
        <v>-0.19443020553346355</v>
      </c>
      <c r="I72" s="2">
        <f t="shared" si="50"/>
        <v>1.1396621477201512</v>
      </c>
      <c r="J72" s="4">
        <f t="shared" si="51"/>
        <v>0.49337758090359785</v>
      </c>
      <c r="K72" s="6">
        <f t="shared" si="52"/>
        <v>8.8357739956699532E-5</v>
      </c>
      <c r="L72" s="9">
        <f t="shared" si="53"/>
        <v>105267110281052.58</v>
      </c>
      <c r="M72" s="6">
        <f t="shared" si="54"/>
        <v>2480821126682758.5</v>
      </c>
      <c r="N72" s="2">
        <f t="shared" si="55"/>
        <v>8.3333333333333339</v>
      </c>
      <c r="O72" s="12">
        <v>1200</v>
      </c>
      <c r="P72" s="13"/>
      <c r="Q72" s="6">
        <f t="shared" si="56"/>
        <v>186812099252.06793</v>
      </c>
      <c r="R72" s="6"/>
    </row>
    <row r="73" spans="4:19" ht="15.75">
      <c r="D73" s="2">
        <f t="shared" si="46"/>
        <v>0.85905022102340489</v>
      </c>
      <c r="E73" s="2">
        <f t="shared" si="47"/>
        <v>-6.5981446092170146E-2</v>
      </c>
      <c r="F73" s="2">
        <f t="shared" si="48"/>
        <v>-2.9780521522611085</v>
      </c>
      <c r="G73" s="6">
        <f t="shared" si="49"/>
        <v>1.6445790181903674E-3</v>
      </c>
      <c r="H73" s="2">
        <f t="shared" si="57"/>
        <v>-0.19410689741915779</v>
      </c>
      <c r="I73" s="2">
        <f t="shared" si="50"/>
        <v>1.140274985489059</v>
      </c>
      <c r="J73" s="4">
        <f t="shared" si="51"/>
        <v>0.49282968803277855</v>
      </c>
      <c r="K73" s="6">
        <f t="shared" si="52"/>
        <v>8.1560990729261107E-5</v>
      </c>
      <c r="L73" s="9">
        <f t="shared" si="53"/>
        <v>109040548617475.11</v>
      </c>
      <c r="M73" s="6">
        <f t="shared" si="54"/>
        <v>2198671163565583</v>
      </c>
      <c r="N73" s="2">
        <f t="shared" si="55"/>
        <v>7.6923076923076925</v>
      </c>
      <c r="O73" s="12">
        <v>1300</v>
      </c>
      <c r="P73" s="13"/>
      <c r="Q73" s="6">
        <f t="shared" si="56"/>
        <v>153796935527.40833</v>
      </c>
      <c r="R73" s="6"/>
    </row>
    <row r="74" spans="4:19" ht="15.75">
      <c r="D74" s="2">
        <f>10^E74</f>
        <v>0.86725816025064462</v>
      </c>
      <c r="E74" s="2">
        <f>LOG(J74)/(1+(F74/(I74-0.14*F74))^2)</f>
        <v>-6.1851605080422166E-2</v>
      </c>
      <c r="F74" s="2">
        <f>LOG(G74)+H74</f>
        <v>-3.1620238788389168</v>
      </c>
      <c r="G74" s="6">
        <f>M74*K74/L74</f>
        <v>1.075069156815944E-3</v>
      </c>
      <c r="H74" s="2">
        <f>-0.4-0.67*LOG(J74)</f>
        <v>-0.19346028119054631</v>
      </c>
      <c r="I74" s="2">
        <f>0.75-1.27*LOG(J74)</f>
        <v>1.141500661026875</v>
      </c>
      <c r="J74" s="4">
        <f t="shared" si="51"/>
        <v>0.49173572691080875</v>
      </c>
      <c r="K74" s="6">
        <f>$P$62*101325/760/8.314/O74/1000000</f>
        <v>7.0686191965359631E-5</v>
      </c>
      <c r="L74" s="9">
        <f t="shared" si="53"/>
        <v>116126973303923.45</v>
      </c>
      <c r="M74" s="6">
        <f>$B$7*O74^$B$8*EXP(-$B$9/1.987/O74)</f>
        <v>1766179840818384.2</v>
      </c>
      <c r="N74" s="2">
        <f>10000/O74</f>
        <v>6.666666666666667</v>
      </c>
      <c r="O74" s="12">
        <v>1500</v>
      </c>
      <c r="P74" s="13"/>
      <c r="Q74" s="6">
        <f>L74/(1+L74/M74/K74)*D74</f>
        <v>108156159689.12064</v>
      </c>
      <c r="R74" s="6"/>
    </row>
    <row r="75" spans="4:19" ht="15.75">
      <c r="D75" s="2">
        <f>10^E75</f>
        <v>0.87640662001361236</v>
      </c>
      <c r="E75" s="2">
        <f>LOG(J75)/(1+(F75/(I75-0.14*F75))^2)</f>
        <v>-5.7294350617809311E-2</v>
      </c>
      <c r="F75" s="2">
        <f>LOG(G75)+H75</f>
        <v>-3.3985168959432386</v>
      </c>
      <c r="G75" s="6">
        <f>M75*K75/L75</f>
        <v>6.2226225847793529E-4</v>
      </c>
      <c r="H75" s="2">
        <f>-0.4-0.67*LOG(J75)</f>
        <v>-0.19249035684762902</v>
      </c>
      <c r="I75" s="2">
        <f>0.75-1.27*LOG(J75)</f>
        <v>1.1433391743335988</v>
      </c>
      <c r="J75" s="4">
        <f t="shared" si="51"/>
        <v>0.49009933665337763</v>
      </c>
      <c r="K75" s="6">
        <f>$P$62*101325/760/8.314/O75/1000000</f>
        <v>5.8905159971133019E-5</v>
      </c>
      <c r="L75" s="9">
        <f t="shared" si="53"/>
        <v>125826714030766.56</v>
      </c>
      <c r="M75" s="6">
        <f>$B$7*O75^$B$8*EXP(-$B$9/1.987/O75)</f>
        <v>1329208091243828.7</v>
      </c>
      <c r="N75" s="2">
        <f>10000/O75</f>
        <v>5.5555555555555554</v>
      </c>
      <c r="O75" s="12">
        <v>1800</v>
      </c>
      <c r="P75" s="13"/>
      <c r="Q75" s="6">
        <f>L75/(1+L75/M75/K75)*D75</f>
        <v>68577524568.098534</v>
      </c>
      <c r="R75" s="6"/>
    </row>
    <row r="76" spans="4:19">
      <c r="D76" s="2" t="s">
        <v>4</v>
      </c>
      <c r="E76" s="2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13</v>
      </c>
      <c r="N76" s="2" t="s">
        <v>14</v>
      </c>
      <c r="P76">
        <f>760*10</f>
        <v>7600</v>
      </c>
      <c r="Q76" s="6" t="s">
        <v>16</v>
      </c>
    </row>
    <row r="77" spans="4:19" ht="15.75">
      <c r="D77" s="2">
        <f t="shared" ref="D77:D87" si="58">10^E77</f>
        <v>0.68665666292743943</v>
      </c>
      <c r="E77" s="2">
        <f t="shared" ref="E77:E87" si="59">LOG(J77)/(1+(F77/(I77-0.14*F77))^2)</f>
        <v>-0.16326036143845871</v>
      </c>
      <c r="F77" s="2">
        <f t="shared" ref="F77:F87" si="60">LOG(G77)+H77</f>
        <v>-1.2026859748007406</v>
      </c>
      <c r="G77" s="6">
        <f t="shared" ref="G77:G87" si="61">M77*K77/L77</f>
        <v>9.8779598800885215E-2</v>
      </c>
      <c r="H77" s="2">
        <f>-0.4-0.67*LOG(J77)</f>
        <v>-0.19735323271742669</v>
      </c>
      <c r="I77" s="2">
        <f t="shared" ref="I77:I87" si="62">0.75-1.27*LOG(J77)</f>
        <v>1.134121484252042</v>
      </c>
      <c r="J77" s="4">
        <f t="shared" ref="J77:J89" si="63">(1-$B$10)*EXP(-O77/$B$11)+$B$10*EXP(-O77/$B$12)+EXP(-B$13/O77)</f>
        <v>0.49835880799214288</v>
      </c>
      <c r="K77" s="6">
        <f t="shared" ref="K77:K87" si="64">$P$76*101325/760/8.314/O77/1000000</f>
        <v>4.0624248255953814E-4</v>
      </c>
      <c r="L77" s="9">
        <f t="shared" ref="L77:L89" si="65">B$4*O77^B$5*EXP(-B$6/1.987/O77)</f>
        <v>57198719309897.531</v>
      </c>
      <c r="M77" s="6">
        <f t="shared" ref="M77:M87" si="66">$B$7*O77^$B$8*EXP(-$B$9/1.987/O77)</f>
        <v>1.3908113473898094E+16</v>
      </c>
      <c r="N77" s="2">
        <f t="shared" ref="N77:N87" si="67">10000/O77</f>
        <v>33.333333333333336</v>
      </c>
      <c r="O77" s="12">
        <v>300</v>
      </c>
      <c r="P77" s="13"/>
      <c r="Q77" s="6">
        <f t="shared" ref="Q77:Q87" si="68">L77/(1+L77/M77/K77)*D77</f>
        <v>3530877205570.7344</v>
      </c>
      <c r="R77" s="6"/>
    </row>
    <row r="78" spans="4:19" ht="15.75">
      <c r="D78" s="2">
        <f t="shared" si="58"/>
        <v>0.73304894112349206</v>
      </c>
      <c r="E78" s="2">
        <f t="shared" si="59"/>
        <v>-0.13486702924655625</v>
      </c>
      <c r="F78" s="2">
        <f t="shared" si="60"/>
        <v>-1.5015328231037286</v>
      </c>
      <c r="G78" s="6">
        <f t="shared" si="61"/>
        <v>4.9600301992429853E-2</v>
      </c>
      <c r="H78" s="2">
        <f t="shared" ref="H78:H87" si="69">-0.4-0.67*LOG(J78)</f>
        <v>-0.19701714381260743</v>
      </c>
      <c r="I78" s="2">
        <f t="shared" si="62"/>
        <v>1.1347585482955054</v>
      </c>
      <c r="J78" s="4">
        <f t="shared" si="63"/>
        <v>0.49778351853994257</v>
      </c>
      <c r="K78" s="6">
        <f t="shared" si="64"/>
        <v>3.046818619196536E-4</v>
      </c>
      <c r="L78" s="9">
        <f t="shared" si="65"/>
        <v>64917135642202.219</v>
      </c>
      <c r="M78" s="6">
        <f t="shared" si="66"/>
        <v>1.0568103765841732E+16</v>
      </c>
      <c r="N78" s="2">
        <f t="shared" si="67"/>
        <v>25</v>
      </c>
      <c r="O78" s="12">
        <v>400</v>
      </c>
      <c r="P78" s="13"/>
      <c r="Q78" s="20">
        <f t="shared" si="68"/>
        <v>2248809636117.9644</v>
      </c>
      <c r="R78" s="20"/>
      <c r="S78" s="6"/>
    </row>
    <row r="79" spans="4:19" ht="15.75">
      <c r="D79" s="2">
        <f t="shared" si="58"/>
        <v>0.76492806343478892</v>
      </c>
      <c r="E79" s="2">
        <f t="shared" si="59"/>
        <v>-0.11637940552914119</v>
      </c>
      <c r="F79" s="2">
        <f t="shared" si="60"/>
        <v>-1.7500706173511273</v>
      </c>
      <c r="G79" s="6">
        <f t="shared" si="61"/>
        <v>2.7965511161128723E-2</v>
      </c>
      <c r="H79" s="2">
        <f t="shared" si="69"/>
        <v>-0.19669337923919974</v>
      </c>
      <c r="I79" s="2">
        <f t="shared" si="62"/>
        <v>1.1353722512928601</v>
      </c>
      <c r="J79" s="4">
        <f t="shared" si="63"/>
        <v>0.49722995289119098</v>
      </c>
      <c r="K79" s="6">
        <f t="shared" si="64"/>
        <v>2.4374548953572288E-4</v>
      </c>
      <c r="L79" s="9">
        <f t="shared" si="65"/>
        <v>71614300587921.641</v>
      </c>
      <c r="M79" s="6">
        <f t="shared" si="66"/>
        <v>8216482389900526</v>
      </c>
      <c r="N79" s="2">
        <f t="shared" si="67"/>
        <v>20</v>
      </c>
      <c r="O79" s="12">
        <v>500</v>
      </c>
      <c r="P79" s="13"/>
      <c r="Q79" s="6">
        <f t="shared" si="68"/>
        <v>1490268655357.4778</v>
      </c>
      <c r="R79" s="6"/>
    </row>
    <row r="80" spans="4:19" ht="15.75">
      <c r="D80" s="2">
        <f t="shared" si="58"/>
        <v>0.78779125648764647</v>
      </c>
      <c r="E80" s="2">
        <f t="shared" si="59"/>
        <v>-0.10358884363380769</v>
      </c>
      <c r="F80" s="2">
        <f t="shared" si="60"/>
        <v>-1.9617106422557129</v>
      </c>
      <c r="G80" s="6">
        <f t="shared" si="61"/>
        <v>1.71656167734364E-2</v>
      </c>
      <c r="H80" s="2">
        <f t="shared" si="69"/>
        <v>-0.19637005482305869</v>
      </c>
      <c r="I80" s="2">
        <f t="shared" si="62"/>
        <v>1.1359851199622619</v>
      </c>
      <c r="J80" s="4">
        <f t="shared" si="63"/>
        <v>0.49667775415809401</v>
      </c>
      <c r="K80" s="6">
        <f t="shared" si="64"/>
        <v>2.0312124127976907E-4</v>
      </c>
      <c r="L80" s="9">
        <f t="shared" si="65"/>
        <v>77596030140271.719</v>
      </c>
      <c r="M80" s="6">
        <f t="shared" si="66"/>
        <v>6557579641280926</v>
      </c>
      <c r="N80" s="2">
        <f t="shared" si="67"/>
        <v>16.666666666666668</v>
      </c>
      <c r="O80" s="12">
        <v>600</v>
      </c>
      <c r="P80" s="13"/>
      <c r="Q80" s="6">
        <f t="shared" si="68"/>
        <v>1031616787237.8502</v>
      </c>
      <c r="R80" s="6"/>
      <c r="S80" s="6"/>
    </row>
    <row r="81" spans="4:19" ht="15.75">
      <c r="D81" s="2">
        <f t="shared" si="58"/>
        <v>0.80489732151893334</v>
      </c>
      <c r="E81" s="2">
        <f t="shared" si="59"/>
        <v>-9.4259517820825728E-2</v>
      </c>
      <c r="F81" s="2">
        <f t="shared" si="60"/>
        <v>-2.1456181972278268</v>
      </c>
      <c r="G81" s="6">
        <f t="shared" si="61"/>
        <v>1.1231261752384423E-2</v>
      </c>
      <c r="H81" s="2">
        <f t="shared" si="69"/>
        <v>-0.19604674612655482</v>
      </c>
      <c r="I81" s="2">
        <f t="shared" si="62"/>
        <v>1.1365979588347395</v>
      </c>
      <c r="J81" s="4">
        <f t="shared" si="63"/>
        <v>0.49612619547182518</v>
      </c>
      <c r="K81" s="6">
        <f t="shared" si="64"/>
        <v>1.7410392109694489E-4</v>
      </c>
      <c r="L81" s="9">
        <f t="shared" si="65"/>
        <v>83041673073623.266</v>
      </c>
      <c r="M81" s="6">
        <f t="shared" si="66"/>
        <v>5356931427905459</v>
      </c>
      <c r="N81" s="2">
        <f t="shared" si="67"/>
        <v>14.285714285714286</v>
      </c>
      <c r="O81" s="12">
        <v>700</v>
      </c>
      <c r="P81" s="13"/>
      <c r="Q81" s="6">
        <f t="shared" si="68"/>
        <v>742360121909.93689</v>
      </c>
      <c r="R81" s="6"/>
    </row>
    <row r="82" spans="4:19" ht="15.75">
      <c r="D82" s="2">
        <f t="shared" si="58"/>
        <v>0.81815912292359738</v>
      </c>
      <c r="E82" s="2">
        <f t="shared" si="59"/>
        <v>-8.7162222628152056E-2</v>
      </c>
      <c r="F82" s="2">
        <f t="shared" si="60"/>
        <v>-2.3080586978691291</v>
      </c>
      <c r="G82" s="6">
        <f t="shared" si="61"/>
        <v>7.7208433336622227E-3</v>
      </c>
      <c r="H82" s="2">
        <f t="shared" si="69"/>
        <v>-0.19572343799145669</v>
      </c>
      <c r="I82" s="2">
        <f t="shared" si="62"/>
        <v>1.1372107966430598</v>
      </c>
      <c r="J82" s="4">
        <f t="shared" si="63"/>
        <v>0.49557525024545401</v>
      </c>
      <c r="K82" s="6">
        <f t="shared" si="64"/>
        <v>1.523409309598268E-4</v>
      </c>
      <c r="L82" s="9">
        <f t="shared" si="65"/>
        <v>88066867137719.016</v>
      </c>
      <c r="M82" s="6">
        <f t="shared" si="66"/>
        <v>4463347307730983.5</v>
      </c>
      <c r="N82" s="2">
        <f t="shared" si="67"/>
        <v>12.5</v>
      </c>
      <c r="O82" s="12">
        <v>800</v>
      </c>
      <c r="P82" s="13"/>
      <c r="Q82" s="6">
        <f t="shared" si="68"/>
        <v>552045435347.98108</v>
      </c>
      <c r="R82" s="6"/>
    </row>
    <row r="83" spans="4:19" ht="15.75">
      <c r="D83" s="2">
        <f t="shared" si="58"/>
        <v>0.82874301035664089</v>
      </c>
      <c r="E83" s="2">
        <f t="shared" si="59"/>
        <v>-8.1580121424385893E-2</v>
      </c>
      <c r="F83" s="2">
        <f t="shared" si="60"/>
        <v>-2.453440115608736</v>
      </c>
      <c r="G83" s="6">
        <f t="shared" si="61"/>
        <v>5.5202661154652782E-3</v>
      </c>
      <c r="H83" s="2">
        <f t="shared" si="69"/>
        <v>-0.19540012987640834</v>
      </c>
      <c r="I83" s="2">
        <f t="shared" si="62"/>
        <v>1.1378236344133752</v>
      </c>
      <c r="J83" s="4">
        <f t="shared" si="63"/>
        <v>0.49502491687463085</v>
      </c>
      <c r="K83" s="6">
        <f t="shared" si="64"/>
        <v>1.3541416085317937E-4</v>
      </c>
      <c r="L83" s="9">
        <f t="shared" si="65"/>
        <v>92751225604224.75</v>
      </c>
      <c r="M83" s="6">
        <f t="shared" si="66"/>
        <v>3781077581878734.5</v>
      </c>
      <c r="N83" s="2">
        <f t="shared" si="67"/>
        <v>11.111111111111111</v>
      </c>
      <c r="O83" s="12">
        <v>900</v>
      </c>
      <c r="P83" s="13"/>
      <c r="Q83" s="6">
        <f t="shared" si="68"/>
        <v>421996376348.36829</v>
      </c>
      <c r="R83" s="6"/>
    </row>
    <row r="84" spans="4:19" ht="15.75">
      <c r="D84" s="2">
        <f t="shared" si="58"/>
        <v>0.83886009425784969</v>
      </c>
      <c r="E84" s="2">
        <f t="shared" si="59"/>
        <v>-7.6310465104965128E-2</v>
      </c>
      <c r="F84" s="2">
        <f t="shared" si="60"/>
        <v>-2.6085901110996663</v>
      </c>
      <c r="G84" s="6">
        <f t="shared" si="61"/>
        <v>3.8585602156436631E-3</v>
      </c>
      <c r="H84" s="2">
        <f t="shared" si="69"/>
        <v>-0.19501539322035749</v>
      </c>
      <c r="I84" s="2">
        <f t="shared" si="62"/>
        <v>1.138552911358427</v>
      </c>
      <c r="J84" s="4">
        <f t="shared" si="63"/>
        <v>0.4943708164572887</v>
      </c>
      <c r="K84" s="6">
        <f t="shared" si="64"/>
        <v>1.1960033833941261E-4</v>
      </c>
      <c r="L84" s="9">
        <f t="shared" si="65"/>
        <v>97960184373951.281</v>
      </c>
      <c r="M84" s="6">
        <f t="shared" si="66"/>
        <v>3160403017170117.5</v>
      </c>
      <c r="N84" s="2">
        <f t="shared" si="67"/>
        <v>9.8135426889106974</v>
      </c>
      <c r="O84" s="12">
        <v>1019</v>
      </c>
      <c r="P84" s="13"/>
      <c r="Q84" s="6">
        <f t="shared" si="68"/>
        <v>315858002218.61798</v>
      </c>
      <c r="R84" s="6"/>
      <c r="S84" s="6"/>
    </row>
    <row r="85" spans="4:19" ht="15.75">
      <c r="D85" s="2">
        <f t="shared" si="58"/>
        <v>0.8445985384588538</v>
      </c>
      <c r="E85" s="2">
        <f t="shared" si="59"/>
        <v>-7.3349674438229304E-2</v>
      </c>
      <c r="F85" s="2">
        <f t="shared" si="60"/>
        <v>-2.7050066072640817</v>
      </c>
      <c r="G85" s="6">
        <f t="shared" si="61"/>
        <v>3.0884950269791716E-3</v>
      </c>
      <c r="H85" s="2">
        <f t="shared" si="69"/>
        <v>-0.19475351364776933</v>
      </c>
      <c r="I85" s="2">
        <f t="shared" si="62"/>
        <v>1.1390493099512433</v>
      </c>
      <c r="J85" s="4">
        <f t="shared" si="63"/>
        <v>0.49392608288260442</v>
      </c>
      <c r="K85" s="6">
        <f t="shared" si="64"/>
        <v>1.107934043344195E-4</v>
      </c>
      <c r="L85" s="9">
        <f t="shared" si="65"/>
        <v>101313130365237.22</v>
      </c>
      <c r="M85" s="6">
        <f t="shared" si="66"/>
        <v>2824221362097088</v>
      </c>
      <c r="N85" s="2">
        <f t="shared" si="67"/>
        <v>9.0909090909090917</v>
      </c>
      <c r="O85" s="12">
        <v>1100</v>
      </c>
      <c r="P85" s="13"/>
      <c r="Q85" s="6">
        <f t="shared" si="68"/>
        <v>263465477727.97357</v>
      </c>
      <c r="R85" s="6"/>
    </row>
    <row r="86" spans="4:19" ht="15.75">
      <c r="D86" s="2">
        <f t="shared" si="58"/>
        <v>0.85070160362631508</v>
      </c>
      <c r="E86" s="2">
        <f t="shared" si="59"/>
        <v>-7.022274852176634E-2</v>
      </c>
      <c r="F86" s="2">
        <f t="shared" si="60"/>
        <v>-2.8154021087898786</v>
      </c>
      <c r="G86" s="6">
        <f t="shared" si="61"/>
        <v>2.3934705973190249E-3</v>
      </c>
      <c r="H86" s="2">
        <f t="shared" si="69"/>
        <v>-0.19443020553346355</v>
      </c>
      <c r="I86" s="2">
        <f t="shared" si="62"/>
        <v>1.1396621477201512</v>
      </c>
      <c r="J86" s="4">
        <f t="shared" si="63"/>
        <v>0.49337758090359785</v>
      </c>
      <c r="K86" s="6">
        <f t="shared" si="64"/>
        <v>1.0156062063988453E-4</v>
      </c>
      <c r="L86" s="9">
        <f t="shared" si="65"/>
        <v>105267110281052.58</v>
      </c>
      <c r="M86" s="6">
        <f t="shared" si="66"/>
        <v>2480821126682758.5</v>
      </c>
      <c r="N86" s="2">
        <f t="shared" si="67"/>
        <v>8.3333333333333339</v>
      </c>
      <c r="O86" s="12">
        <v>1200</v>
      </c>
      <c r="P86" s="13"/>
      <c r="Q86" s="6">
        <f t="shared" si="68"/>
        <v>213825659547.95505</v>
      </c>
      <c r="R86" s="6"/>
    </row>
    <row r="87" spans="4:19" ht="15.75">
      <c r="D87" s="2">
        <f t="shared" si="58"/>
        <v>0.855941160038029</v>
      </c>
      <c r="E87" s="2">
        <f t="shared" si="59"/>
        <v>-6.7556089001706759E-2</v>
      </c>
      <c r="F87" s="2">
        <f t="shared" si="60"/>
        <v>-2.9175714048797268</v>
      </c>
      <c r="G87" s="6">
        <f t="shared" si="61"/>
        <v>1.8903207105636412E-3</v>
      </c>
      <c r="H87" s="2">
        <f t="shared" si="69"/>
        <v>-0.19410689741915779</v>
      </c>
      <c r="I87" s="2">
        <f t="shared" si="62"/>
        <v>1.140274985489059</v>
      </c>
      <c r="J87" s="4">
        <f t="shared" si="63"/>
        <v>0.49282968803277855</v>
      </c>
      <c r="K87" s="6">
        <f t="shared" si="64"/>
        <v>9.3748265206047265E-5</v>
      </c>
      <c r="L87" s="9">
        <f t="shared" si="65"/>
        <v>109040548617475.11</v>
      </c>
      <c r="M87" s="6">
        <f t="shared" si="66"/>
        <v>2198671163565583</v>
      </c>
      <c r="N87" s="2">
        <f t="shared" si="67"/>
        <v>7.6923076923076925</v>
      </c>
      <c r="O87" s="12">
        <v>1300</v>
      </c>
      <c r="P87" s="13"/>
      <c r="Q87" s="6">
        <f t="shared" si="68"/>
        <v>176095091499.43915</v>
      </c>
      <c r="R87" s="6"/>
    </row>
    <row r="88" spans="4:19" ht="15.75">
      <c r="D88" s="2">
        <f>10^E88</f>
        <v>0.86448431516173374</v>
      </c>
      <c r="E88" s="2">
        <f>LOG(J88)/(1+(F88/(I88-0.14*F88))^2)</f>
        <v>-6.3242881974215653E-2</v>
      </c>
      <c r="F88" s="2">
        <f>LOG(G88)+H88</f>
        <v>-3.1015431314575355</v>
      </c>
      <c r="G88" s="6">
        <f>M88*K88/L88</f>
        <v>1.2357116745010852E-3</v>
      </c>
      <c r="H88" s="2">
        <f>-0.4-0.67*LOG(J88)</f>
        <v>-0.19346028119054631</v>
      </c>
      <c r="I88" s="2">
        <f>0.75-1.27*LOG(J88)</f>
        <v>1.141500661026875</v>
      </c>
      <c r="J88" s="4">
        <f t="shared" si="63"/>
        <v>0.49173572691080875</v>
      </c>
      <c r="K88" s="6">
        <f>$P$76*101325/760/8.314/O88/1000000</f>
        <v>8.124849651190763E-5</v>
      </c>
      <c r="L88" s="9">
        <f t="shared" si="65"/>
        <v>116126973303923.45</v>
      </c>
      <c r="M88" s="6">
        <f>$B$7*O88^$B$8*EXP(-$B$9/1.987/O88)</f>
        <v>1766179840818384.2</v>
      </c>
      <c r="N88" s="2">
        <f>10000/O88</f>
        <v>6.666666666666667</v>
      </c>
      <c r="O88" s="12">
        <v>1500</v>
      </c>
      <c r="P88" s="13"/>
      <c r="Q88" s="6">
        <f>L88/(1+L88/M88/K88)*D88</f>
        <v>123899924912.48509</v>
      </c>
      <c r="R88" s="6"/>
    </row>
    <row r="89" spans="4:19" ht="15.75">
      <c r="D89" s="2">
        <f>10^E89</f>
        <v>0.87399475931383608</v>
      </c>
      <c r="E89" s="2">
        <f>LOG(J89)/(1+(F89/(I89-0.14*F89))^2)</f>
        <v>-5.8491171493635925E-2</v>
      </c>
      <c r="F89" s="2">
        <f>LOG(G89)+H89</f>
        <v>-3.3380361485618568</v>
      </c>
      <c r="G89" s="6">
        <f>M89*K89/L89</f>
        <v>7.152439752619946E-4</v>
      </c>
      <c r="H89" s="2">
        <f>-0.4-0.67*LOG(J89)</f>
        <v>-0.19249035684762902</v>
      </c>
      <c r="I89" s="2">
        <f>0.75-1.27*LOG(J89)</f>
        <v>1.1433391743335988</v>
      </c>
      <c r="J89" s="4">
        <f t="shared" si="63"/>
        <v>0.49009933665337763</v>
      </c>
      <c r="K89" s="6">
        <f>$P$76*101325/760/8.314/O89/1000000</f>
        <v>6.7707080426589685E-5</v>
      </c>
      <c r="L89" s="9">
        <f t="shared" si="65"/>
        <v>125826714030766.56</v>
      </c>
      <c r="M89" s="6">
        <f>$B$7*O89^$B$8*EXP(-$B$9/1.987/O89)</f>
        <v>1329208091243828.7</v>
      </c>
      <c r="N89" s="2">
        <f>10000/O89</f>
        <v>5.5555555555555554</v>
      </c>
      <c r="O89" s="12">
        <v>1800</v>
      </c>
      <c r="P89" s="13"/>
      <c r="Q89" s="6">
        <f>L89/(1+L89/M89/K89)*D89</f>
        <v>78600512258.366852</v>
      </c>
      <c r="R89" s="6"/>
    </row>
    <row r="90" spans="4:19">
      <c r="D90" s="2" t="s">
        <v>4</v>
      </c>
      <c r="E90" s="2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s="2" t="s">
        <v>14</v>
      </c>
      <c r="P90">
        <f>760*11</f>
        <v>8360</v>
      </c>
      <c r="Q90" s="6" t="s">
        <v>16</v>
      </c>
    </row>
    <row r="91" spans="4:19" ht="15.75">
      <c r="D91" s="2">
        <f t="shared" ref="D91:D101" si="70">10^E91</f>
        <v>0.67945280056651036</v>
      </c>
      <c r="E91" s="2">
        <f t="shared" ref="E91:E101" si="71">LOG(J91)/(1+(F91/(I91-0.14*F91))^2)</f>
        <v>-0.16784070694543585</v>
      </c>
      <c r="F91" s="2">
        <f t="shared" ref="F91:F101" si="72">LOG(G91)+H91</f>
        <v>-1.1612932896425154</v>
      </c>
      <c r="G91" s="6">
        <f t="shared" ref="G91:G101" si="73">M91*K91/L91</f>
        <v>0.10865755868097374</v>
      </c>
      <c r="H91" s="2">
        <f>-0.4-0.67*LOG(J91)</f>
        <v>-0.19735323271742669</v>
      </c>
      <c r="I91" s="2">
        <f t="shared" ref="I91:I101" si="74">0.75-1.27*LOG(J91)</f>
        <v>1.134121484252042</v>
      </c>
      <c r="J91" s="4">
        <f t="shared" ref="J91:J103" si="75">(1-$B$10)*EXP(-O91/$B$11)+$B$10*EXP(-O91/$B$12)+EXP(-B$13/O91)</f>
        <v>0.49835880799214288</v>
      </c>
      <c r="K91" s="6">
        <f>$P$90*101325/760/8.314/O91/1000000</f>
        <v>4.4686673081549197E-4</v>
      </c>
      <c r="L91" s="9">
        <f t="shared" ref="L91:L103" si="76">B$4*O91^B$5*EXP(-B$6/1.987/O91)</f>
        <v>57198719309897.531</v>
      </c>
      <c r="M91" s="6">
        <f t="shared" ref="M91:M101" si="77">$B$7*O91^$B$8*EXP(-$B$9/1.987/O91)</f>
        <v>1.3908113473898094E+16</v>
      </c>
      <c r="N91" s="2">
        <f t="shared" ref="N91:N101" si="78">10000/O91</f>
        <v>33.333333333333336</v>
      </c>
      <c r="O91" s="12">
        <v>300</v>
      </c>
      <c r="P91" s="13"/>
      <c r="Q91" s="6">
        <f t="shared" ref="Q91:Q101" si="79">L91/(1+L91/M91/K91)*D91</f>
        <v>3808974970067.8018</v>
      </c>
      <c r="R91" s="6"/>
    </row>
    <row r="92" spans="4:19" ht="15.75">
      <c r="D92" s="2">
        <f t="shared" si="70"/>
        <v>0.72708821973040882</v>
      </c>
      <c r="E92" s="2">
        <f t="shared" si="71"/>
        <v>-0.13841289173011911</v>
      </c>
      <c r="F92" s="2">
        <f t="shared" si="72"/>
        <v>-1.4601401379455035</v>
      </c>
      <c r="G92" s="6">
        <f t="shared" si="73"/>
        <v>5.456033219167284E-2</v>
      </c>
      <c r="H92" s="2">
        <f t="shared" ref="H92:H101" si="80">-0.4-0.67*LOG(J92)</f>
        <v>-0.19701714381260743</v>
      </c>
      <c r="I92" s="2">
        <f t="shared" si="74"/>
        <v>1.1347585482955054</v>
      </c>
      <c r="J92" s="4">
        <f t="shared" si="75"/>
        <v>0.49778351853994257</v>
      </c>
      <c r="K92" s="6">
        <f t="shared" ref="K92:K101" si="81">$P$90*101325/760/8.314/O92/1000000</f>
        <v>3.3515004811161895E-4</v>
      </c>
      <c r="L92" s="9">
        <f t="shared" si="76"/>
        <v>64917135642202.219</v>
      </c>
      <c r="M92" s="6">
        <f t="shared" si="77"/>
        <v>1.0568103765841732E+16</v>
      </c>
      <c r="N92" s="2">
        <f t="shared" si="78"/>
        <v>25</v>
      </c>
      <c r="O92" s="12">
        <v>400</v>
      </c>
      <c r="P92" s="13"/>
      <c r="Q92" s="6">
        <f t="shared" si="79"/>
        <v>2442035832282.3853</v>
      </c>
      <c r="R92" s="6"/>
      <c r="S92" s="6"/>
    </row>
    <row r="93" spans="4:19" ht="15.75">
      <c r="D93" s="2">
        <f t="shared" si="70"/>
        <v>0.75993590561404611</v>
      </c>
      <c r="E93" s="2">
        <f t="shared" si="71"/>
        <v>-0.11922303536653826</v>
      </c>
      <c r="F93" s="2">
        <f t="shared" si="72"/>
        <v>-1.7086779321929024</v>
      </c>
      <c r="G93" s="6">
        <f t="shared" si="73"/>
        <v>3.0762062277241591E-2</v>
      </c>
      <c r="H93" s="2">
        <f t="shared" si="80"/>
        <v>-0.19669337923919974</v>
      </c>
      <c r="I93" s="2">
        <f t="shared" si="74"/>
        <v>1.1353722512928601</v>
      </c>
      <c r="J93" s="4">
        <f t="shared" si="75"/>
        <v>0.49722995289119098</v>
      </c>
      <c r="K93" s="6">
        <f t="shared" si="81"/>
        <v>2.6812003848929514E-4</v>
      </c>
      <c r="L93" s="9">
        <f t="shared" si="76"/>
        <v>71614300587921.641</v>
      </c>
      <c r="M93" s="6">
        <f t="shared" si="77"/>
        <v>8216482389900526</v>
      </c>
      <c r="N93" s="2">
        <f t="shared" si="78"/>
        <v>20</v>
      </c>
      <c r="O93" s="12">
        <v>500</v>
      </c>
      <c r="P93" s="13"/>
      <c r="Q93" s="6">
        <f t="shared" si="79"/>
        <v>1624178438287.0178</v>
      </c>
      <c r="R93" s="6"/>
      <c r="S93" s="6"/>
    </row>
    <row r="94" spans="4:19" ht="15.75">
      <c r="D94" s="2">
        <f t="shared" si="70"/>
        <v>0.78351667183510532</v>
      </c>
      <c r="E94" s="2">
        <f t="shared" si="71"/>
        <v>-0.10595175808632071</v>
      </c>
      <c r="F94" s="2">
        <f t="shared" si="72"/>
        <v>-1.920317957097488</v>
      </c>
      <c r="G94" s="6">
        <f t="shared" si="73"/>
        <v>1.8882178450780038E-2</v>
      </c>
      <c r="H94" s="2">
        <f t="shared" si="80"/>
        <v>-0.19637005482305869</v>
      </c>
      <c r="I94" s="2">
        <f t="shared" si="74"/>
        <v>1.1359851199622619</v>
      </c>
      <c r="J94" s="4">
        <f t="shared" si="75"/>
        <v>0.49667775415809401</v>
      </c>
      <c r="K94" s="6">
        <f t="shared" si="81"/>
        <v>2.2343336540774599E-4</v>
      </c>
      <c r="L94" s="9">
        <f t="shared" si="76"/>
        <v>77596030140271.719</v>
      </c>
      <c r="M94" s="6">
        <f t="shared" si="77"/>
        <v>6557579641280926</v>
      </c>
      <c r="N94" s="2">
        <f t="shared" si="78"/>
        <v>16.666666666666668</v>
      </c>
      <c r="O94" s="12">
        <v>600</v>
      </c>
      <c r="P94" s="13"/>
      <c r="Q94" s="6">
        <f t="shared" si="79"/>
        <v>1126719671463.1929</v>
      </c>
      <c r="R94" s="6"/>
      <c r="S94" s="6"/>
    </row>
    <row r="95" spans="4:19" ht="15.75">
      <c r="D95" s="2">
        <f t="shared" si="70"/>
        <v>0.80116029628728425</v>
      </c>
      <c r="E95" s="2">
        <f t="shared" si="71"/>
        <v>-9.6280581508517857E-2</v>
      </c>
      <c r="F95" s="2">
        <f t="shared" si="72"/>
        <v>-2.1042255120696014</v>
      </c>
      <c r="G95" s="6">
        <f t="shared" si="73"/>
        <v>1.2354387927622867E-2</v>
      </c>
      <c r="H95" s="2">
        <f t="shared" si="80"/>
        <v>-0.19604674612655482</v>
      </c>
      <c r="I95" s="2">
        <f t="shared" si="74"/>
        <v>1.1365979588347395</v>
      </c>
      <c r="J95" s="4">
        <f t="shared" si="75"/>
        <v>0.49612619547182518</v>
      </c>
      <c r="K95" s="6">
        <f t="shared" si="81"/>
        <v>1.9151431320663941E-4</v>
      </c>
      <c r="L95" s="9">
        <f t="shared" si="76"/>
        <v>83041673073623.266</v>
      </c>
      <c r="M95" s="6">
        <f t="shared" si="77"/>
        <v>5356931427905459</v>
      </c>
      <c r="N95" s="2">
        <f t="shared" si="78"/>
        <v>14.285714285714286</v>
      </c>
      <c r="O95" s="12">
        <v>700</v>
      </c>
      <c r="P95" s="13"/>
      <c r="Q95" s="6">
        <f t="shared" si="79"/>
        <v>811903051055.90576</v>
      </c>
      <c r="R95" s="6"/>
      <c r="S95" s="6"/>
    </row>
    <row r="96" spans="4:19" ht="15.75">
      <c r="D96" s="2">
        <f t="shared" si="70"/>
        <v>0.81483438567442712</v>
      </c>
      <c r="E96" s="2">
        <f t="shared" si="71"/>
        <v>-8.8930652237457872E-2</v>
      </c>
      <c r="F96" s="2">
        <f t="shared" si="72"/>
        <v>-2.2666660127109037</v>
      </c>
      <c r="G96" s="6">
        <f t="shared" si="73"/>
        <v>8.4929276670284454E-3</v>
      </c>
      <c r="H96" s="2">
        <f t="shared" si="80"/>
        <v>-0.19572343799145669</v>
      </c>
      <c r="I96" s="2">
        <f t="shared" si="74"/>
        <v>1.1372107966430598</v>
      </c>
      <c r="J96" s="4">
        <f t="shared" si="75"/>
        <v>0.49557525024545401</v>
      </c>
      <c r="K96" s="6">
        <f t="shared" si="81"/>
        <v>1.6757502405580948E-4</v>
      </c>
      <c r="L96" s="9">
        <f t="shared" si="76"/>
        <v>88066867137719.016</v>
      </c>
      <c r="M96" s="6">
        <f t="shared" si="77"/>
        <v>4463347307730983.5</v>
      </c>
      <c r="N96" s="2">
        <f t="shared" si="78"/>
        <v>12.5</v>
      </c>
      <c r="O96" s="12">
        <v>800</v>
      </c>
      <c r="P96" s="13"/>
      <c r="Q96" s="6">
        <f t="shared" si="79"/>
        <v>604319298373.10229</v>
      </c>
      <c r="R96" s="6"/>
      <c r="S96" s="6"/>
    </row>
    <row r="97" spans="4:19" ht="15.75">
      <c r="D97" s="2">
        <f t="shared" si="70"/>
        <v>0.82574225100811682</v>
      </c>
      <c r="E97" s="2">
        <f t="shared" si="71"/>
        <v>-8.3155493156022373E-2</v>
      </c>
      <c r="F97" s="2">
        <f t="shared" si="72"/>
        <v>-2.4120474304505111</v>
      </c>
      <c r="G97" s="6">
        <f t="shared" si="73"/>
        <v>6.0722927270118084E-3</v>
      </c>
      <c r="H97" s="2">
        <f t="shared" si="80"/>
        <v>-0.19540012987640834</v>
      </c>
      <c r="I97" s="2">
        <f t="shared" si="74"/>
        <v>1.1378236344133752</v>
      </c>
      <c r="J97" s="4">
        <f t="shared" si="75"/>
        <v>0.49502491687463085</v>
      </c>
      <c r="K97" s="6">
        <f t="shared" si="81"/>
        <v>1.4895557693849734E-4</v>
      </c>
      <c r="L97" s="9">
        <f t="shared" si="76"/>
        <v>92751225604224.75</v>
      </c>
      <c r="M97" s="6">
        <f t="shared" si="77"/>
        <v>3781077581878734.5</v>
      </c>
      <c r="N97" s="2">
        <f t="shared" si="78"/>
        <v>11.111111111111111</v>
      </c>
      <c r="O97" s="12">
        <v>900</v>
      </c>
      <c r="P97" s="13"/>
      <c r="Q97" s="6">
        <f t="shared" si="79"/>
        <v>462261447233.49207</v>
      </c>
      <c r="R97" s="6"/>
      <c r="S97" s="6"/>
    </row>
    <row r="98" spans="4:19" ht="15.75">
      <c r="D98" s="26">
        <f t="shared" si="70"/>
        <v>0.84033464664471291</v>
      </c>
      <c r="E98" s="26">
        <f t="shared" si="71"/>
        <v>-7.5547730308461125E-2</v>
      </c>
      <c r="F98" s="26">
        <f t="shared" si="72"/>
        <v>-2.6345705764938736</v>
      </c>
      <c r="G98" s="27">
        <f t="shared" si="73"/>
        <v>3.6329863338140271E-3</v>
      </c>
      <c r="H98" s="26">
        <f t="shared" si="80"/>
        <v>-0.19483434067634584</v>
      </c>
      <c r="I98" s="26">
        <f t="shared" si="74"/>
        <v>1.1388961005090161</v>
      </c>
      <c r="J98" s="31">
        <f t="shared" si="75"/>
        <v>0.4940633036298489</v>
      </c>
      <c r="K98" s="27">
        <f>$P$90*101325/760/8.314/O98/1000000</f>
        <v>1.2470699464618381E-4</v>
      </c>
      <c r="L98" s="28">
        <f t="shared" si="76"/>
        <v>100293474541679.06</v>
      </c>
      <c r="M98" s="27">
        <f t="shared" si="77"/>
        <v>2921767326800021.5</v>
      </c>
      <c r="N98" s="26">
        <f t="shared" si="78"/>
        <v>9.3023255813953494</v>
      </c>
      <c r="O98" s="29">
        <v>1075</v>
      </c>
      <c r="P98" s="30"/>
      <c r="Q98" s="27">
        <f t="shared" si="79"/>
        <v>305080032675.57312</v>
      </c>
      <c r="R98" s="27"/>
      <c r="S98" s="27"/>
    </row>
    <row r="99" spans="4:19" ht="15.75">
      <c r="D99" s="26">
        <f t="shared" si="70"/>
        <v>0.84571091153043265</v>
      </c>
      <c r="E99" s="26">
        <f t="shared" si="71"/>
        <v>-7.2778066018779744E-2</v>
      </c>
      <c r="F99" s="26">
        <f t="shared" si="72"/>
        <v>-2.7265253450636227</v>
      </c>
      <c r="G99" s="27">
        <f t="shared" si="73"/>
        <v>2.9379683710172126E-3</v>
      </c>
      <c r="H99" s="26">
        <f t="shared" si="80"/>
        <v>-0.19457246110375809</v>
      </c>
      <c r="I99" s="26">
        <f t="shared" si="74"/>
        <v>1.1393924991018318</v>
      </c>
      <c r="J99" s="31">
        <f t="shared" si="75"/>
        <v>0.49361884669220468</v>
      </c>
      <c r="K99" s="27">
        <f t="shared" si="81"/>
        <v>1.1596887477910691E-4</v>
      </c>
      <c r="L99" s="28">
        <f t="shared" si="76"/>
        <v>103551024468697.78</v>
      </c>
      <c r="M99" s="27">
        <f t="shared" si="77"/>
        <v>2623373170214409.5</v>
      </c>
      <c r="N99" s="26">
        <f t="shared" si="78"/>
        <v>8.6505190311418687</v>
      </c>
      <c r="O99" s="29">
        <v>1156</v>
      </c>
      <c r="P99" s="30"/>
      <c r="Q99" s="27">
        <f t="shared" si="79"/>
        <v>256536625165.2139</v>
      </c>
      <c r="R99" s="27"/>
      <c r="S99" s="27"/>
    </row>
    <row r="100" spans="4:19" ht="15.75">
      <c r="D100" s="2">
        <f t="shared" si="70"/>
        <v>0.84835178357463215</v>
      </c>
      <c r="E100" s="2">
        <f t="shared" si="71"/>
        <v>-7.1424022761007899E-2</v>
      </c>
      <c r="F100" s="2">
        <f t="shared" si="72"/>
        <v>-2.7740094236316533</v>
      </c>
      <c r="G100" s="6">
        <f t="shared" si="73"/>
        <v>2.6328176570509275E-3</v>
      </c>
      <c r="H100" s="2">
        <f t="shared" si="80"/>
        <v>-0.19443020553346355</v>
      </c>
      <c r="I100" s="2">
        <f t="shared" si="74"/>
        <v>1.1396621477201512</v>
      </c>
      <c r="J100" s="4">
        <f t="shared" si="75"/>
        <v>0.49337758090359785</v>
      </c>
      <c r="K100" s="6">
        <f t="shared" si="81"/>
        <v>1.1171668270387299E-4</v>
      </c>
      <c r="L100" s="9">
        <f t="shared" si="76"/>
        <v>105267110281052.58</v>
      </c>
      <c r="M100" s="6">
        <f t="shared" si="77"/>
        <v>2480821126682758.5</v>
      </c>
      <c r="N100" s="2">
        <f t="shared" si="78"/>
        <v>8.3333333333333339</v>
      </c>
      <c r="O100" s="12">
        <v>1200</v>
      </c>
      <c r="P100" s="13"/>
      <c r="Q100" s="6">
        <f t="shared" si="79"/>
        <v>234502536527.82208</v>
      </c>
      <c r="R100" s="6"/>
    </row>
    <row r="101" spans="4:19" ht="15.75">
      <c r="D101" s="2">
        <f t="shared" si="70"/>
        <v>0.85374133831282484</v>
      </c>
      <c r="E101" s="2">
        <f t="shared" si="71"/>
        <v>-6.8673689450412786E-2</v>
      </c>
      <c r="F101" s="2">
        <f t="shared" si="72"/>
        <v>-2.8761787197215019</v>
      </c>
      <c r="G101" s="6">
        <f t="shared" si="73"/>
        <v>2.0793527816200053E-3</v>
      </c>
      <c r="H101" s="2">
        <f t="shared" si="80"/>
        <v>-0.19410689741915779</v>
      </c>
      <c r="I101" s="2">
        <f t="shared" si="74"/>
        <v>1.140274985489059</v>
      </c>
      <c r="J101" s="4">
        <f t="shared" si="75"/>
        <v>0.49282968803277855</v>
      </c>
      <c r="K101" s="6">
        <f t="shared" si="81"/>
        <v>1.03123091726652E-4</v>
      </c>
      <c r="L101" s="9">
        <f t="shared" si="76"/>
        <v>109040548617475.11</v>
      </c>
      <c r="M101" s="6">
        <f t="shared" si="77"/>
        <v>2198671163565583</v>
      </c>
      <c r="N101" s="2">
        <f t="shared" si="78"/>
        <v>7.6923076923076925</v>
      </c>
      <c r="O101" s="12">
        <v>1300</v>
      </c>
      <c r="P101" s="13"/>
      <c r="Q101" s="6">
        <f t="shared" si="79"/>
        <v>193170321353.83508</v>
      </c>
      <c r="R101" s="6"/>
    </row>
    <row r="102" spans="4:19" ht="15.75">
      <c r="D102" s="2">
        <f>10^E102</f>
        <v>0.8625238726140888</v>
      </c>
      <c r="E102" s="2">
        <f>LOG(J102)/(1+(F102/(I102-0.14*F102))^2)</f>
        <v>-6.4228875847628819E-2</v>
      </c>
      <c r="F102" s="2">
        <f>LOG(G102)+H102</f>
        <v>-3.0601504462993101</v>
      </c>
      <c r="G102" s="6">
        <f>M102*K102/L102</f>
        <v>1.3592828419511937E-3</v>
      </c>
      <c r="H102" s="2">
        <f>-0.4-0.67*LOG(J102)</f>
        <v>-0.19346028119054631</v>
      </c>
      <c r="I102" s="2">
        <f>0.75-1.27*LOG(J102)</f>
        <v>1.141500661026875</v>
      </c>
      <c r="J102" s="4">
        <f t="shared" si="75"/>
        <v>0.49173572691080875</v>
      </c>
      <c r="K102" s="6">
        <f>$P$90*101325/760/8.314/O102/1000000</f>
        <v>8.9373346163098389E-5</v>
      </c>
      <c r="L102" s="9">
        <f t="shared" si="76"/>
        <v>116126973303923.45</v>
      </c>
      <c r="M102" s="6">
        <f>$B$7*O102^$B$8*EXP(-$B$9/1.987/O102)</f>
        <v>1766179840818384.2</v>
      </c>
      <c r="N102" s="2">
        <f>10000/O102</f>
        <v>6.666666666666667</v>
      </c>
      <c r="O102" s="12">
        <v>1500</v>
      </c>
      <c r="P102" s="13"/>
      <c r="Q102" s="6">
        <f>L102/(1+L102/M102/K102)*D102</f>
        <v>135964064141.88744</v>
      </c>
      <c r="R102" s="6"/>
    </row>
    <row r="103" spans="4:19" ht="15.75">
      <c r="D103" s="2">
        <f>10^E103</f>
        <v>0.87229257268018179</v>
      </c>
      <c r="E103" s="2">
        <f>LOG(J103)/(1+(F103/(I103-0.14*F103))^2)</f>
        <v>-5.9337825400756133E-2</v>
      </c>
      <c r="F103" s="2">
        <f>LOG(G103)+H103</f>
        <v>-3.2966434634036319</v>
      </c>
      <c r="G103" s="6">
        <f>M103*K103/L103</f>
        <v>7.8676837278819428E-4</v>
      </c>
      <c r="H103" s="2">
        <f>-0.4-0.67*LOG(J103)</f>
        <v>-0.19249035684762902</v>
      </c>
      <c r="I103" s="2">
        <f>0.75-1.27*LOG(J103)</f>
        <v>1.1433391743335988</v>
      </c>
      <c r="J103" s="4">
        <f t="shared" si="75"/>
        <v>0.49009933665337763</v>
      </c>
      <c r="K103" s="6">
        <f>$P$90*101325/760/8.314/O103/1000000</f>
        <v>7.4477788469248671E-5</v>
      </c>
      <c r="L103" s="9">
        <f t="shared" si="76"/>
        <v>125826714030766.56</v>
      </c>
      <c r="M103" s="6">
        <f>$B$7*O103^$B$8*EXP(-$B$9/1.987/O103)</f>
        <v>1329208091243828.7</v>
      </c>
      <c r="N103" s="2">
        <f>10000/O103</f>
        <v>5.5555555555555554</v>
      </c>
      <c r="O103" s="12">
        <v>1800</v>
      </c>
      <c r="P103" s="13"/>
      <c r="Q103" s="6">
        <f>L103/(1+L103/M103/K103)*D103</f>
        <v>86286006297.144684</v>
      </c>
      <c r="R103" s="6"/>
    </row>
    <row r="104" spans="4:19">
      <c r="D104" s="2" t="s">
        <v>4</v>
      </c>
      <c r="E104" s="2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s="2" t="s">
        <v>14</v>
      </c>
      <c r="P104">
        <f>760*30</f>
        <v>22800</v>
      </c>
      <c r="Q104" s="6" t="s">
        <v>16</v>
      </c>
    </row>
    <row r="105" spans="4:19" ht="15.75">
      <c r="D105" s="2">
        <f t="shared" ref="D105:D115" si="82">10^E105</f>
        <v>0.59577918121757401</v>
      </c>
      <c r="E105" s="2">
        <f t="shared" ref="E105:E115" si="83">LOG(J105)/(1+(F105/(I105-0.14*F105))^2)</f>
        <v>-0.22491467675088045</v>
      </c>
      <c r="F105" s="2">
        <f t="shared" ref="F105:F115" si="84">LOG(G105)+H105</f>
        <v>-0.72556472008107809</v>
      </c>
      <c r="G105" s="6">
        <f t="shared" ref="G105:G115" si="85">M105*K105/L105</f>
        <v>0.29633879640265565</v>
      </c>
      <c r="H105" s="2">
        <f>-0.4-0.67*LOG(J105)</f>
        <v>-0.19735323271742669</v>
      </c>
      <c r="I105" s="2">
        <f t="shared" ref="I105:I115" si="86">0.75-1.27*LOG(J105)</f>
        <v>1.134121484252042</v>
      </c>
      <c r="J105" s="4">
        <f t="shared" ref="J105:J117" si="87">(1-$B$10)*EXP(-O105/$B$11)+$B$10*EXP(-O105/$B$12)+EXP(-B$13/O105)</f>
        <v>0.49835880799214288</v>
      </c>
      <c r="K105" s="6">
        <f>$P$104*101325/760/8.314/O105/1000000</f>
        <v>1.2187274476786144E-3</v>
      </c>
      <c r="L105" s="9">
        <f t="shared" ref="L105:L117" si="88">B$4*O105^B$5*EXP(-B$6/1.987/O105)</f>
        <v>57198719309897.531</v>
      </c>
      <c r="M105" s="6">
        <f t="shared" ref="M105:M115" si="89">$B$7*O105^$B$8*EXP(-$B$9/1.987/O105)</f>
        <v>1.3908113473898094E+16</v>
      </c>
      <c r="N105" s="2">
        <f t="shared" ref="N105:N115" si="90">10000/O105</f>
        <v>33.333333333333336</v>
      </c>
      <c r="O105" s="12">
        <v>300</v>
      </c>
      <c r="P105" s="13"/>
      <c r="Q105" s="6">
        <f t="shared" ref="Q105:Q115" si="91">L105/(1+L105/M105/K105)*D105</f>
        <v>7790074700128.4053</v>
      </c>
      <c r="R105" s="6"/>
      <c r="S105" s="6"/>
    </row>
    <row r="106" spans="4:19" ht="15.75">
      <c r="D106" s="26">
        <f t="shared" si="82"/>
        <v>0.82251508252445826</v>
      </c>
      <c r="E106" s="26">
        <f t="shared" si="83"/>
        <v>-8.4856129612530654E-2</v>
      </c>
      <c r="F106" s="26">
        <f t="shared" si="84"/>
        <v>-2.3799068866507502</v>
      </c>
      <c r="G106" s="27">
        <f t="shared" si="85"/>
        <v>6.5271040634888311E-3</v>
      </c>
      <c r="H106" s="26">
        <f t="shared" ref="H106:H115" si="92">-0.4-0.67*LOG(J106)</f>
        <v>-0.19462742348319007</v>
      </c>
      <c r="I106" s="26">
        <f t="shared" si="86"/>
        <v>1.1392883166811174</v>
      </c>
      <c r="J106" s="31">
        <f t="shared" si="87"/>
        <v>0.49371209461416193</v>
      </c>
      <c r="K106" s="27">
        <f>23.4*101325/8.314/O106/1000000</f>
        <v>2.5037947564248971E-4</v>
      </c>
      <c r="L106" s="28">
        <f t="shared" si="88"/>
        <v>102878208157392.78</v>
      </c>
      <c r="M106" s="27">
        <f t="shared" si="89"/>
        <v>2681916194550151</v>
      </c>
      <c r="N106" s="26">
        <f t="shared" si="90"/>
        <v>8.7796312554872689</v>
      </c>
      <c r="O106" s="29">
        <v>1139</v>
      </c>
      <c r="P106" s="30"/>
      <c r="Q106" s="27">
        <f t="shared" si="91"/>
        <v>548734573942.40588</v>
      </c>
      <c r="R106" s="27"/>
      <c r="S106" s="27"/>
    </row>
    <row r="107" spans="4:19" ht="15.75">
      <c r="D107" s="26">
        <f t="shared" si="82"/>
        <v>0.8238147113754386</v>
      </c>
      <c r="E107" s="26">
        <f t="shared" si="83"/>
        <v>-8.4170456841695135E-2</v>
      </c>
      <c r="F107" s="26">
        <f t="shared" si="84"/>
        <v>-2.3994934931571912</v>
      </c>
      <c r="G107" s="27">
        <f t="shared" si="85"/>
        <v>6.2369966294054165E-3</v>
      </c>
      <c r="H107" s="26">
        <f t="shared" si="92"/>
        <v>-0.19446900250718027</v>
      </c>
      <c r="I107" s="26">
        <f t="shared" si="86"/>
        <v>1.1395886071878822</v>
      </c>
      <c r="J107" s="31">
        <f t="shared" si="87"/>
        <v>0.49344336896682511</v>
      </c>
      <c r="K107" s="27">
        <f>25.3*101325/8.314/O107/1000000</f>
        <v>2.5954380830192712E-4</v>
      </c>
      <c r="L107" s="28">
        <f t="shared" si="88"/>
        <v>104802631317714.98</v>
      </c>
      <c r="M107" s="27">
        <f t="shared" si="89"/>
        <v>2518471400099871</v>
      </c>
      <c r="N107" s="26">
        <f t="shared" si="90"/>
        <v>8.4175084175084169</v>
      </c>
      <c r="O107" s="29">
        <v>1188</v>
      </c>
      <c r="P107" s="30"/>
      <c r="Q107" s="27">
        <f t="shared" si="91"/>
        <v>535151760112.5545</v>
      </c>
      <c r="R107" s="27"/>
      <c r="S107" s="27"/>
    </row>
    <row r="108" spans="4:19" ht="15.75">
      <c r="D108" s="26">
        <f t="shared" si="82"/>
        <v>0.81631714318827375</v>
      </c>
      <c r="E108" s="26">
        <f t="shared" si="83"/>
        <v>-8.8141082939643872E-2</v>
      </c>
      <c r="F108" s="26">
        <f t="shared" si="84"/>
        <v>-2.2974640000962125</v>
      </c>
      <c r="G108" s="27">
        <f t="shared" si="85"/>
        <v>7.8951546493578068E-3</v>
      </c>
      <c r="H108" s="26">
        <f t="shared" si="92"/>
        <v>-0.19482464143291664</v>
      </c>
      <c r="I108" s="26">
        <f t="shared" si="86"/>
        <v>1.1389144856420834</v>
      </c>
      <c r="J108" s="31">
        <f t="shared" si="87"/>
        <v>0.49404683512753778</v>
      </c>
      <c r="K108" s="27">
        <f>24.1*101325/8.314/O108/1000000</f>
        <v>2.7246133106729689E-4</v>
      </c>
      <c r="L108" s="28">
        <f t="shared" si="88"/>
        <v>100416529508523.48</v>
      </c>
      <c r="M108" s="27">
        <f t="shared" si="89"/>
        <v>2909785497692423.5</v>
      </c>
      <c r="N108" s="26">
        <f t="shared" si="90"/>
        <v>9.2764378478664185</v>
      </c>
      <c r="O108" s="29">
        <v>1078</v>
      </c>
      <c r="P108" s="30"/>
      <c r="Q108" s="27">
        <f t="shared" si="91"/>
        <v>642109963270.20337</v>
      </c>
      <c r="R108" s="27"/>
      <c r="S108" s="27"/>
    </row>
    <row r="109" spans="4:19" ht="15.75">
      <c r="D109" s="26">
        <f t="shared" si="82"/>
        <v>0.82177659854789631</v>
      </c>
      <c r="E109" s="26">
        <f t="shared" si="83"/>
        <v>-8.5246230153998612E-2</v>
      </c>
      <c r="F109" s="26">
        <f t="shared" si="84"/>
        <v>-2.3723362339271827</v>
      </c>
      <c r="G109" s="27">
        <f t="shared" si="85"/>
        <v>6.6395590044023012E-3</v>
      </c>
      <c r="H109" s="26">
        <f t="shared" si="92"/>
        <v>-0.19447546866946636</v>
      </c>
      <c r="I109" s="26">
        <f t="shared" si="86"/>
        <v>1.139576350432504</v>
      </c>
      <c r="J109" s="31">
        <f t="shared" si="87"/>
        <v>0.4934543344968631</v>
      </c>
      <c r="K109" s="27">
        <f>26.8*101325/8.314/O109/1000000</f>
        <v>2.7539540976211519E-4</v>
      </c>
      <c r="L109" s="28">
        <f t="shared" si="88"/>
        <v>104724963112881.22</v>
      </c>
      <c r="M109" s="27">
        <f t="shared" si="89"/>
        <v>2524833556312536</v>
      </c>
      <c r="N109" s="26">
        <f t="shared" si="90"/>
        <v>8.4317032040472171</v>
      </c>
      <c r="O109" s="29">
        <v>1186</v>
      </c>
      <c r="P109" s="30"/>
      <c r="Q109" s="27">
        <f t="shared" si="91"/>
        <v>567635080240.08826</v>
      </c>
      <c r="R109" s="27"/>
      <c r="S109" s="27"/>
    </row>
    <row r="110" spans="4:19" ht="15.75">
      <c r="D110" s="26">
        <f t="shared" si="82"/>
        <v>0.82151204166007941</v>
      </c>
      <c r="E110" s="26">
        <f t="shared" si="83"/>
        <v>-8.5386066327279103E-2</v>
      </c>
      <c r="F110" s="26">
        <f t="shared" si="84"/>
        <v>-2.3670645393481191</v>
      </c>
      <c r="G110" s="27">
        <f t="shared" si="85"/>
        <v>6.7225961042571315E-3</v>
      </c>
      <c r="H110" s="26">
        <f t="shared" si="92"/>
        <v>-0.19460155883404562</v>
      </c>
      <c r="I110" s="26">
        <f t="shared" si="86"/>
        <v>1.13933734370263</v>
      </c>
      <c r="J110" s="31">
        <f t="shared" si="87"/>
        <v>0.49366821104505043</v>
      </c>
      <c r="K110" s="27">
        <f>24.6*101325/8.314/O110/1000000</f>
        <v>2.6138356767998181E-4</v>
      </c>
      <c r="L110" s="28">
        <f t="shared" si="88"/>
        <v>103195523083865.81</v>
      </c>
      <c r="M110" s="27">
        <f t="shared" si="89"/>
        <v>2654114134327441.5</v>
      </c>
      <c r="N110" s="26">
        <f t="shared" si="90"/>
        <v>8.7183958151700089</v>
      </c>
      <c r="O110" s="29">
        <v>1147</v>
      </c>
      <c r="P110" s="30"/>
      <c r="Q110" s="27">
        <f t="shared" si="91"/>
        <v>566111521027.06189</v>
      </c>
      <c r="R110" s="27"/>
      <c r="S110" s="27"/>
    </row>
    <row r="111" spans="4:19" ht="15.75">
      <c r="D111" s="26">
        <f t="shared" si="82"/>
        <v>0.81151267000518623</v>
      </c>
      <c r="E111" s="26">
        <f t="shared" si="83"/>
        <v>-9.0704695221134474E-2</v>
      </c>
      <c r="F111" s="26">
        <f t="shared" si="84"/>
        <v>-2.2456524574350993</v>
      </c>
      <c r="G111" s="27">
        <f t="shared" si="85"/>
        <v>8.8851464453191531E-3</v>
      </c>
      <c r="H111" s="26">
        <f t="shared" si="92"/>
        <v>-0.19431704769345659</v>
      </c>
      <c r="I111" s="26">
        <f t="shared" si="86"/>
        <v>1.1398766409392689</v>
      </c>
      <c r="J111" s="31">
        <f t="shared" si="87"/>
        <v>0.49318574914739449</v>
      </c>
      <c r="K111" s="27">
        <f>40.4*101325/8.314/O111/1000000</f>
        <v>3.9867683308676943E-4</v>
      </c>
      <c r="L111" s="28">
        <f t="shared" si="88"/>
        <v>106607169885796.87</v>
      </c>
      <c r="M111" s="27">
        <f t="shared" si="89"/>
        <v>2375910105491800.5</v>
      </c>
      <c r="N111" s="26">
        <f t="shared" si="90"/>
        <v>8.097165991902834</v>
      </c>
      <c r="O111" s="29">
        <v>1235</v>
      </c>
      <c r="P111" s="30"/>
      <c r="Q111" s="27">
        <f t="shared" si="91"/>
        <v>761911592097.6062</v>
      </c>
      <c r="R111" s="27"/>
      <c r="S111" s="27"/>
    </row>
    <row r="112" spans="4:19" ht="15.75">
      <c r="D112" s="26">
        <f t="shared" si="82"/>
        <v>0.81588264571708569</v>
      </c>
      <c r="E112" s="26">
        <f t="shared" si="83"/>
        <v>-8.8372304460291012E-2</v>
      </c>
      <c r="F112" s="26">
        <f t="shared" si="84"/>
        <v>-2.2982434291661091</v>
      </c>
      <c r="G112" s="27">
        <f t="shared" si="85"/>
        <v>7.8729056543786081E-3</v>
      </c>
      <c r="H112" s="26">
        <f t="shared" si="92"/>
        <v>-0.19437847623517462</v>
      </c>
      <c r="I112" s="26">
        <f t="shared" si="86"/>
        <v>1.1397602017631765</v>
      </c>
      <c r="J112" s="31">
        <f t="shared" si="87"/>
        <v>0.49328987712978145</v>
      </c>
      <c r="K112" s="27">
        <f>34.2*101325/8.314/O112/1000000</f>
        <v>3.4276709465961034E-4</v>
      </c>
      <c r="L112" s="28">
        <f t="shared" si="88"/>
        <v>105882387594646.02</v>
      </c>
      <c r="M112" s="27">
        <f t="shared" si="89"/>
        <v>2431978042760540.5</v>
      </c>
      <c r="N112" s="26">
        <f t="shared" si="90"/>
        <v>8.223684210526315</v>
      </c>
      <c r="O112" s="29">
        <v>1216</v>
      </c>
      <c r="P112" s="30"/>
      <c r="Q112" s="27">
        <f t="shared" si="91"/>
        <v>674808738855.94348</v>
      </c>
      <c r="R112" s="27"/>
      <c r="S112" s="27"/>
    </row>
    <row r="113" spans="4:19" ht="15.75">
      <c r="D113" s="26">
        <f t="shared" si="82"/>
        <v>0.80994591312122333</v>
      </c>
      <c r="E113" s="26">
        <f t="shared" si="83"/>
        <v>-9.1543981636508828E-2</v>
      </c>
      <c r="F113" s="26">
        <f t="shared" si="84"/>
        <v>-2.2186774353722383</v>
      </c>
      <c r="G113" s="27">
        <f t="shared" si="85"/>
        <v>9.4679051335583402E-3</v>
      </c>
      <c r="H113" s="26">
        <f t="shared" si="92"/>
        <v>-0.19493133311063771</v>
      </c>
      <c r="I113" s="26">
        <f t="shared" si="86"/>
        <v>1.1387122491783435</v>
      </c>
      <c r="J113" s="31">
        <f t="shared" si="87"/>
        <v>0.49422801884873713</v>
      </c>
      <c r="K113" s="27">
        <f>26.4*101325/8.314/O113/1000000</f>
        <v>3.0788903941354469E-4</v>
      </c>
      <c r="L113" s="28">
        <f t="shared" si="88"/>
        <v>99052198814577.297</v>
      </c>
      <c r="M113" s="27">
        <f t="shared" si="89"/>
        <v>3045957152073667.5</v>
      </c>
      <c r="N113" s="26">
        <f t="shared" si="90"/>
        <v>9.5693779904306222</v>
      </c>
      <c r="O113" s="29">
        <v>1045</v>
      </c>
      <c r="P113" s="30"/>
      <c r="Q113" s="27">
        <f t="shared" si="91"/>
        <v>752456713171.72388</v>
      </c>
      <c r="R113" s="27"/>
      <c r="S113" s="27"/>
    </row>
    <row r="114" spans="4:19" ht="15.75">
      <c r="D114" s="26">
        <f t="shared" si="82"/>
        <v>0.80993235959372623</v>
      </c>
      <c r="E114" s="26">
        <f t="shared" si="83"/>
        <v>-9.1551249123580689E-2</v>
      </c>
      <c r="F114" s="26">
        <f t="shared" si="84"/>
        <v>-2.2224073105010231</v>
      </c>
      <c r="G114" s="27">
        <f t="shared" si="85"/>
        <v>9.3807222734159472E-3</v>
      </c>
      <c r="H114" s="26">
        <f t="shared" si="92"/>
        <v>-0.19464358888890534</v>
      </c>
      <c r="I114" s="26">
        <f t="shared" si="86"/>
        <v>1.1392576747926719</v>
      </c>
      <c r="J114" s="31">
        <f t="shared" si="87"/>
        <v>0.49373952382577824</v>
      </c>
      <c r="K114" s="27">
        <f>33.2*101325/8.314/O114/1000000</f>
        <v>3.5680556669250442E-4</v>
      </c>
      <c r="L114" s="28">
        <f t="shared" si="88"/>
        <v>102679252151724.81</v>
      </c>
      <c r="M114" s="27">
        <f t="shared" si="89"/>
        <v>2699525000705690.5</v>
      </c>
      <c r="N114" s="26">
        <f t="shared" si="90"/>
        <v>8.8183421516754859</v>
      </c>
      <c r="O114" s="29">
        <v>1134</v>
      </c>
      <c r="P114" s="30"/>
      <c r="Q114" s="27">
        <f t="shared" si="91"/>
        <v>772881158505.80664</v>
      </c>
      <c r="R114" s="27"/>
      <c r="S114" s="27"/>
    </row>
    <row r="115" spans="4:19" ht="15.75">
      <c r="D115" s="26">
        <f t="shared" si="82"/>
        <v>0.81429534684441984</v>
      </c>
      <c r="E115" s="26">
        <f t="shared" si="83"/>
        <v>-8.9218046903792786E-2</v>
      </c>
      <c r="F115" s="26">
        <f t="shared" si="84"/>
        <v>-2.2785531605500071</v>
      </c>
      <c r="G115" s="27">
        <f t="shared" si="85"/>
        <v>8.2381282511196953E-3</v>
      </c>
      <c r="H115" s="26">
        <f t="shared" si="92"/>
        <v>-0.19438170931631771</v>
      </c>
      <c r="I115" s="26">
        <f t="shared" si="86"/>
        <v>1.1397540733854874</v>
      </c>
      <c r="J115" s="31">
        <f t="shared" si="87"/>
        <v>0.49329535815886633</v>
      </c>
      <c r="K115" s="27">
        <f>35.7*101325/8.314/O115/1000000</f>
        <v>3.5809522536729661E-4</v>
      </c>
      <c r="L115" s="28">
        <f t="shared" si="88"/>
        <v>105844066062829.23</v>
      </c>
      <c r="M115" s="27">
        <f t="shared" si="89"/>
        <v>2434986364175089.5</v>
      </c>
      <c r="N115" s="26">
        <f t="shared" si="90"/>
        <v>8.2304526748971192</v>
      </c>
      <c r="O115" s="29">
        <v>1215</v>
      </c>
      <c r="P115" s="30"/>
      <c r="Q115" s="27">
        <f t="shared" si="91"/>
        <v>704228991543.52014</v>
      </c>
      <c r="R115" s="27"/>
      <c r="S115" s="27"/>
    </row>
    <row r="116" spans="4:19" ht="15.75">
      <c r="D116" s="26">
        <f>10^E116</f>
        <v>0.80874251470126324</v>
      </c>
      <c r="E116" s="26">
        <f>LOG(J116)/(1+(F116/(I116-0.14*F116))^2)</f>
        <v>-9.2189725907763323E-2</v>
      </c>
      <c r="F116" s="26">
        <f>LOG(G116)+H116</f>
        <v>-2.2075946930559383</v>
      </c>
      <c r="G116" s="27">
        <f>M116*K116/L116</f>
        <v>9.7075653843290855E-3</v>
      </c>
      <c r="H116" s="26">
        <f>-0.4-0.67*LOG(J116)</f>
        <v>-0.19470501743062346</v>
      </c>
      <c r="I116" s="26">
        <f>0.75-1.27*LOG(J116)</f>
        <v>1.1391412356165795</v>
      </c>
      <c r="J116" s="31">
        <f t="shared" si="87"/>
        <v>0.49384376872849406</v>
      </c>
      <c r="K116" s="27">
        <f>32.7*101325/8.314/O116/1000000</f>
        <v>3.5742051604565641E-4</v>
      </c>
      <c r="L116" s="28">
        <f t="shared" si="88"/>
        <v>101918704471403.37</v>
      </c>
      <c r="M116" s="27">
        <f>$B$7*O116^$B$8*EXP(-$B$9/1.987/O116)</f>
        <v>2768118905115897.5</v>
      </c>
      <c r="N116" s="26">
        <f>10000/O116</f>
        <v>8.9686098654708513</v>
      </c>
      <c r="O116" s="29">
        <v>1115</v>
      </c>
      <c r="P116" s="30"/>
      <c r="Q116" s="27">
        <f>L116/(1+L116/M116/K116)*D116</f>
        <v>792462796564.02625</v>
      </c>
      <c r="R116" s="27"/>
      <c r="S116" s="27"/>
    </row>
    <row r="117" spans="4:19" ht="15.75">
      <c r="D117" s="26">
        <f>10^E117</f>
        <v>0.8155456241033735</v>
      </c>
      <c r="E117" s="26">
        <f>LOG(J117)/(1+(F117/(I117-0.14*F117))^2)</f>
        <v>-8.8551738189504792E-2</v>
      </c>
      <c r="F117" s="26">
        <f>LOG(G117)+H117</f>
        <v>-2.2962007835406792</v>
      </c>
      <c r="G117" s="27">
        <f>M117*K117/L117</f>
        <v>7.9071960140814686E-3</v>
      </c>
      <c r="H117" s="26">
        <f>-0.4-0.67*LOG(J117)</f>
        <v>-0.19422328834030786</v>
      </c>
      <c r="I117" s="26">
        <f>0.75-1.27*LOG(J117)</f>
        <v>1.1400543638922522</v>
      </c>
      <c r="J117" s="31">
        <f t="shared" si="87"/>
        <v>0.49302685933962409</v>
      </c>
      <c r="K117" s="27">
        <f>38.5*101325/8.314/O117/1000000</f>
        <v>3.7121049632616026E-4</v>
      </c>
      <c r="L117" s="28">
        <f t="shared" si="88"/>
        <v>107701478548911.47</v>
      </c>
      <c r="M117" s="27">
        <f>$B$7*O117^$B$8*EXP(-$B$9/1.987/O117)</f>
        <v>2294161157405337.5</v>
      </c>
      <c r="N117" s="26">
        <f>10000/O117</f>
        <v>7.9113924050632916</v>
      </c>
      <c r="O117" s="29">
        <v>1264</v>
      </c>
      <c r="P117" s="30"/>
      <c r="Q117" s="27">
        <f>L117/(1+L117/M117/K117)*D117</f>
        <v>689083555895.33972</v>
      </c>
      <c r="R117" s="27"/>
      <c r="S117" s="27"/>
    </row>
    <row r="118" spans="4:19">
      <c r="D118" s="2" t="s">
        <v>4</v>
      </c>
      <c r="E118" s="2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P118">
        <f>760*40</f>
        <v>30400</v>
      </c>
      <c r="Q118" t="s">
        <v>16</v>
      </c>
    </row>
    <row r="119" spans="4:19" ht="15.75">
      <c r="D119" s="2">
        <f t="shared" ref="D119:D131" si="93">10^E119</f>
        <v>0.57106876366929737</v>
      </c>
      <c r="E119" s="2">
        <f t="shared" ref="E119:E129" si="94">LOG(J119)/(1+(F119/(I119-0.14*F119))^2)</f>
        <v>-0.24331159423386703</v>
      </c>
      <c r="F119" s="2">
        <f t="shared" ref="F119:F129" si="95">LOG(G119)+H119</f>
        <v>-0.60062598347277818</v>
      </c>
      <c r="G119" s="6">
        <f t="shared" ref="G119:G129" si="96">M119*K119/L119</f>
        <v>0.39511839520354086</v>
      </c>
      <c r="H119" s="2">
        <f>-0.4-0.67*LOG(J119)</f>
        <v>-0.19735323271742669</v>
      </c>
      <c r="I119" s="2">
        <f t="shared" ref="I119:I129" si="97">0.75-1.27*LOG(J119)</f>
        <v>1.134121484252042</v>
      </c>
      <c r="J119" s="4">
        <f t="shared" ref="J119:J131" si="98">(1-$B$10)*EXP(-O119/$B$11)+$B$10*EXP(-O119/$B$12)+EXP(-B$13/O119)</f>
        <v>0.49835880799214288</v>
      </c>
      <c r="K119" s="6">
        <f>$P$118*101325/760/8.314/O119/1000000</f>
        <v>1.6249699302381525E-3</v>
      </c>
      <c r="L119" s="9">
        <f t="shared" ref="L119:L131" si="99">B$4*O119^B$5*EXP(-B$6/1.987/O119)</f>
        <v>57198719309897.531</v>
      </c>
      <c r="M119" s="6">
        <f t="shared" ref="M119:M129" si="100">$B$7*O119^$B$8*EXP(-$B$9/1.987/O119)</f>
        <v>1.3908113473898094E+16</v>
      </c>
      <c r="N119" s="2">
        <f t="shared" ref="N119:N129" si="101">10000/O119</f>
        <v>33.333333333333336</v>
      </c>
      <c r="O119" s="12">
        <v>300</v>
      </c>
      <c r="P119" s="13"/>
      <c r="Q119" s="6">
        <f t="shared" ref="Q119:Q129" si="102">L119/(1+L119/M119/K119)*D119</f>
        <v>9251047159291.5625</v>
      </c>
      <c r="R119" s="6"/>
      <c r="S119" s="6"/>
    </row>
    <row r="120" spans="4:19" ht="15.75">
      <c r="D120" s="2">
        <f t="shared" si="93"/>
        <v>0.62985225206297801</v>
      </c>
      <c r="E120" s="2">
        <f t="shared" si="94"/>
        <v>-0.20076131346558249</v>
      </c>
      <c r="F120" s="2">
        <f t="shared" si="95"/>
        <v>-0.89947283177576631</v>
      </c>
      <c r="G120" s="6">
        <f t="shared" si="96"/>
        <v>0.19840120796971941</v>
      </c>
      <c r="H120" s="2">
        <f t="shared" ref="H120:H129" si="103">-0.4-0.67*LOG(J120)</f>
        <v>-0.19701714381260743</v>
      </c>
      <c r="I120" s="2">
        <f t="shared" si="97"/>
        <v>1.1347585482955054</v>
      </c>
      <c r="J120" s="4">
        <f t="shared" si="98"/>
        <v>0.49778351853994257</v>
      </c>
      <c r="K120" s="6">
        <f>$P$118*101325/760/8.314/O120/1000000</f>
        <v>1.2187274476786144E-3</v>
      </c>
      <c r="L120" s="9">
        <f t="shared" si="99"/>
        <v>64917135642202.219</v>
      </c>
      <c r="M120" s="6">
        <f t="shared" si="100"/>
        <v>1.0568103765841732E+16</v>
      </c>
      <c r="N120" s="2">
        <f t="shared" si="101"/>
        <v>25</v>
      </c>
      <c r="O120" s="12">
        <v>400</v>
      </c>
      <c r="P120" s="13"/>
      <c r="Q120" s="6">
        <f t="shared" si="102"/>
        <v>6769243077841.1035</v>
      </c>
      <c r="R120" s="6"/>
      <c r="S120" s="6"/>
    </row>
    <row r="121" spans="4:19" ht="15.75">
      <c r="D121" s="26">
        <f t="shared" si="93"/>
        <v>0.8193297093101547</v>
      </c>
      <c r="E121" s="26">
        <f t="shared" si="94"/>
        <v>-8.6541297117253418E-2</v>
      </c>
      <c r="F121" s="26">
        <f t="shared" si="95"/>
        <v>-2.3464961610730728</v>
      </c>
      <c r="G121" s="27">
        <f t="shared" si="96"/>
        <v>7.0397262932655625E-3</v>
      </c>
      <c r="H121" s="26">
        <f t="shared" si="103"/>
        <v>-0.19405193503972581</v>
      </c>
      <c r="I121" s="26">
        <f t="shared" si="97"/>
        <v>1.1403791679097735</v>
      </c>
      <c r="J121" s="31">
        <f t="shared" si="98"/>
        <v>0.4927366067718793</v>
      </c>
      <c r="K121" s="27">
        <f>38.7*101325/8.314/O121/1000000</f>
        <v>3.5812264407868166E-4</v>
      </c>
      <c r="L121" s="28">
        <f t="shared" si="99"/>
        <v>109665669392039.86</v>
      </c>
      <c r="M121" s="27">
        <f t="shared" si="100"/>
        <v>2155731588193275.2</v>
      </c>
      <c r="N121" s="26">
        <f t="shared" si="101"/>
        <v>7.5930144267274109</v>
      </c>
      <c r="O121" s="29">
        <v>1317</v>
      </c>
      <c r="P121" s="30"/>
      <c r="Q121" s="27">
        <f t="shared" si="102"/>
        <v>628114136021.58997</v>
      </c>
      <c r="R121" s="27"/>
      <c r="S121" s="27"/>
    </row>
    <row r="122" spans="4:19" ht="15.75">
      <c r="D122" s="26">
        <f t="shared" si="93"/>
        <v>0.8084367792274596</v>
      </c>
      <c r="E122" s="26">
        <f t="shared" si="94"/>
        <v>-9.2353936804199441E-2</v>
      </c>
      <c r="F122" s="26">
        <f t="shared" si="95"/>
        <v>-2.2032430883654333</v>
      </c>
      <c r="G122" s="27">
        <f t="shared" si="96"/>
        <v>9.8066375569089096E-3</v>
      </c>
      <c r="H122" s="26">
        <f t="shared" si="103"/>
        <v>-0.19476321289119852</v>
      </c>
      <c r="I122" s="26">
        <f t="shared" si="97"/>
        <v>1.139030924818176</v>
      </c>
      <c r="J122" s="31">
        <f t="shared" si="98"/>
        <v>0.49394254735977361</v>
      </c>
      <c r="K122" s="27">
        <f>31.5*101325/8.314/O122/1000000</f>
        <v>3.4995364267890929E-4</v>
      </c>
      <c r="L122" s="28">
        <f t="shared" si="99"/>
        <v>101191461637236.59</v>
      </c>
      <c r="M122" s="27">
        <f t="shared" si="100"/>
        <v>2835655547214104</v>
      </c>
      <c r="N122" s="26">
        <f t="shared" si="101"/>
        <v>9.115770282588878</v>
      </c>
      <c r="O122" s="29">
        <v>1097</v>
      </c>
      <c r="P122" s="30"/>
      <c r="Q122" s="27">
        <f t="shared" si="102"/>
        <v>794459633715.41199</v>
      </c>
      <c r="R122" s="27"/>
      <c r="S122" s="27"/>
    </row>
    <row r="123" spans="4:19" ht="15.75">
      <c r="D123" s="26">
        <f t="shared" si="93"/>
        <v>0.77738836063243311</v>
      </c>
      <c r="E123" s="26">
        <f t="shared" si="94"/>
        <v>-0.10936196608570042</v>
      </c>
      <c r="F123" s="26">
        <f t="shared" si="95"/>
        <v>-1.8825828396988191</v>
      </c>
      <c r="G123" s="27">
        <f t="shared" si="96"/>
        <v>2.0518767735684097E-2</v>
      </c>
      <c r="H123" s="26">
        <f t="shared" si="103"/>
        <v>-0.19473411516091102</v>
      </c>
      <c r="I123" s="26">
        <f t="shared" si="97"/>
        <v>1.1390860802173777</v>
      </c>
      <c r="J123" s="31">
        <f t="shared" si="98"/>
        <v>0.49389315557466806</v>
      </c>
      <c r="K123" s="27">
        <f>67.5*101325/8.314/O123/1000000</f>
        <v>7.437983970913786E-4</v>
      </c>
      <c r="L123" s="28">
        <f t="shared" si="99"/>
        <v>101555911569085.09</v>
      </c>
      <c r="M123" s="27">
        <f t="shared" si="100"/>
        <v>2801568502729278</v>
      </c>
      <c r="N123" s="26">
        <f t="shared" si="101"/>
        <v>9.0415913200723335</v>
      </c>
      <c r="O123" s="29">
        <v>1106</v>
      </c>
      <c r="P123" s="30"/>
      <c r="Q123" s="27">
        <f t="shared" si="102"/>
        <v>1587353018444.311</v>
      </c>
      <c r="R123" s="27"/>
      <c r="S123" s="27"/>
    </row>
    <row r="124" spans="4:19" ht="15.75">
      <c r="D124" s="26">
        <f t="shared" si="93"/>
        <v>0.7867305951182112</v>
      </c>
      <c r="E124" s="26">
        <f t="shared" si="94"/>
        <v>-0.10417396025079451</v>
      </c>
      <c r="F124" s="26">
        <f t="shared" si="95"/>
        <v>-1.976279224499933</v>
      </c>
      <c r="G124" s="27">
        <f t="shared" si="96"/>
        <v>1.6522040707012672E-2</v>
      </c>
      <c r="H124" s="26">
        <f t="shared" si="103"/>
        <v>-0.19434291234260101</v>
      </c>
      <c r="I124" s="26">
        <f t="shared" si="97"/>
        <v>1.1398276139177563</v>
      </c>
      <c r="J124" s="31">
        <f t="shared" si="98"/>
        <v>0.49322958982909787</v>
      </c>
      <c r="K124" s="27">
        <f>73.7*101325/8.314/O124/1000000</f>
        <v>7.3203107493002352E-4</v>
      </c>
      <c r="L124" s="28">
        <f t="shared" si="99"/>
        <v>106302764890895.77</v>
      </c>
      <c r="M124" s="27">
        <f t="shared" si="100"/>
        <v>2399267830212357.5</v>
      </c>
      <c r="N124" s="26">
        <f t="shared" si="101"/>
        <v>8.1499592502037483</v>
      </c>
      <c r="O124" s="29">
        <v>1227</v>
      </c>
      <c r="P124" s="30"/>
      <c r="Q124" s="27">
        <f t="shared" si="102"/>
        <v>1359306796698.3098</v>
      </c>
      <c r="R124" s="27"/>
      <c r="S124" s="27"/>
    </row>
    <row r="125" spans="4:19" ht="15.75">
      <c r="D125" s="26">
        <f t="shared" si="93"/>
        <v>0.77936804760252043</v>
      </c>
      <c r="E125" s="26">
        <f t="shared" si="94"/>
        <v>-0.10825740330899869</v>
      </c>
      <c r="F125" s="26">
        <f t="shared" si="95"/>
        <v>-1.9012844562765243</v>
      </c>
      <c r="G125" s="27">
        <f t="shared" si="96"/>
        <v>1.965262472301485E-2</v>
      </c>
      <c r="H125" s="26">
        <f t="shared" si="103"/>
        <v>-0.19470501743062346</v>
      </c>
      <c r="I125" s="26">
        <f t="shared" si="97"/>
        <v>1.1391412356165795</v>
      </c>
      <c r="J125" s="31">
        <f t="shared" si="98"/>
        <v>0.49384376872849406</v>
      </c>
      <c r="K125" s="27">
        <f>66.2*101325/8.314/O125/1000000</f>
        <v>7.2358526489976933E-4</v>
      </c>
      <c r="L125" s="28">
        <f t="shared" si="99"/>
        <v>101918704471403.37</v>
      </c>
      <c r="M125" s="27">
        <f t="shared" si="100"/>
        <v>2768118905115897.5</v>
      </c>
      <c r="N125" s="26">
        <f t="shared" si="101"/>
        <v>8.9686098654708513</v>
      </c>
      <c r="O125" s="29">
        <v>1115</v>
      </c>
      <c r="P125" s="30"/>
      <c r="Q125" s="27">
        <f t="shared" si="102"/>
        <v>1530963408895.5818</v>
      </c>
      <c r="R125" s="27"/>
      <c r="S125" s="27"/>
    </row>
    <row r="126" spans="4:19" ht="15.75">
      <c r="D126" s="26">
        <f t="shared" si="93"/>
        <v>0.78839965656805377</v>
      </c>
      <c r="E126" s="26">
        <f t="shared" si="94"/>
        <v>-0.10325357357401449</v>
      </c>
      <c r="F126" s="26">
        <f t="shared" si="95"/>
        <v>-1.9918580717409853</v>
      </c>
      <c r="G126" s="27">
        <f t="shared" si="96"/>
        <v>1.5942720581636788E-2</v>
      </c>
      <c r="H126" s="26">
        <f t="shared" si="103"/>
        <v>-0.19442050629003441</v>
      </c>
      <c r="I126" s="26">
        <f t="shared" si="97"/>
        <v>1.1396805328532185</v>
      </c>
      <c r="J126" s="31">
        <f t="shared" si="98"/>
        <v>0.49336113525833003</v>
      </c>
      <c r="K126" s="27">
        <f>67.1*101325/8.314/O126/1000000</f>
        <v>6.7977233365947639E-4</v>
      </c>
      <c r="L126" s="28">
        <f t="shared" si="99"/>
        <v>105382823151890.87</v>
      </c>
      <c r="M126" s="27">
        <f t="shared" si="100"/>
        <v>2471546458165007.5</v>
      </c>
      <c r="N126" s="26">
        <f t="shared" si="101"/>
        <v>8.3125519534497094</v>
      </c>
      <c r="O126" s="29">
        <v>1203</v>
      </c>
      <c r="P126" s="30"/>
      <c r="Q126" s="27">
        <f t="shared" si="102"/>
        <v>1303795467775.2356</v>
      </c>
      <c r="R126" s="27"/>
      <c r="S126" s="27"/>
    </row>
    <row r="127" spans="4:19" ht="15.75">
      <c r="D127" s="26">
        <f t="shared" si="93"/>
        <v>0.77449320503259333</v>
      </c>
      <c r="E127" s="26">
        <f t="shared" si="94"/>
        <v>-0.11098238814337391</v>
      </c>
      <c r="F127" s="26">
        <f t="shared" si="95"/>
        <v>-1.8600739236092549</v>
      </c>
      <c r="G127" s="27">
        <f t="shared" si="96"/>
        <v>2.159386675724995E-2</v>
      </c>
      <c r="H127" s="26">
        <f t="shared" si="103"/>
        <v>-0.1944043408843191</v>
      </c>
      <c r="I127" s="26">
        <f t="shared" si="97"/>
        <v>1.1397111747416639</v>
      </c>
      <c r="J127" s="31">
        <f t="shared" si="98"/>
        <v>0.49333372706771689</v>
      </c>
      <c r="K127" s="27">
        <f>92*101325/8.314/O127/1000000</f>
        <v>9.2816991048371301E-4</v>
      </c>
      <c r="L127" s="28">
        <f t="shared" si="99"/>
        <v>105575319398320.37</v>
      </c>
      <c r="M127" s="27">
        <f t="shared" si="100"/>
        <v>2456209099423763.5</v>
      </c>
      <c r="N127" s="26">
        <f t="shared" si="101"/>
        <v>8.2781456953642376</v>
      </c>
      <c r="O127" s="29">
        <v>1208</v>
      </c>
      <c r="P127" s="30"/>
      <c r="Q127" s="27">
        <f t="shared" si="102"/>
        <v>1728351839408.2319</v>
      </c>
      <c r="R127" s="27"/>
      <c r="S127" s="27"/>
    </row>
    <row r="128" spans="4:19" ht="15.75">
      <c r="D128" s="26">
        <f t="shared" si="93"/>
        <v>0.76741827477610025</v>
      </c>
      <c r="E128" s="26">
        <f t="shared" si="94"/>
        <v>-0.11496786302157165</v>
      </c>
      <c r="F128" s="26">
        <f t="shared" si="95"/>
        <v>-1.795317407140429</v>
      </c>
      <c r="G128" s="27">
        <f t="shared" si="96"/>
        <v>2.5077308266508561E-2</v>
      </c>
      <c r="H128" s="26">
        <f t="shared" si="103"/>
        <v>-0.19459832575290253</v>
      </c>
      <c r="I128" s="26">
        <f t="shared" si="97"/>
        <v>1.1393434720803191</v>
      </c>
      <c r="J128" s="31">
        <f t="shared" si="98"/>
        <v>0.49366272587317872</v>
      </c>
      <c r="K128" s="27">
        <f>92*101325/8.314/O128/1000000</f>
        <v>9.7668053298286157E-4</v>
      </c>
      <c r="L128" s="28">
        <f t="shared" si="99"/>
        <v>103235100198846.09</v>
      </c>
      <c r="M128" s="27">
        <f t="shared" si="100"/>
        <v>2650670658607046.5</v>
      </c>
      <c r="N128" s="26">
        <f t="shared" si="101"/>
        <v>8.7108013937282234</v>
      </c>
      <c r="O128" s="29">
        <v>1148</v>
      </c>
      <c r="P128" s="30"/>
      <c r="Q128" s="27">
        <f t="shared" si="102"/>
        <v>1938134085306.9163</v>
      </c>
      <c r="R128" s="27"/>
      <c r="S128" s="27"/>
    </row>
    <row r="129" spans="4:19" ht="15.75">
      <c r="D129" s="26">
        <f t="shared" si="93"/>
        <v>0.76704611426438019</v>
      </c>
      <c r="E129" s="26">
        <f t="shared" si="94"/>
        <v>-0.11517852579217197</v>
      </c>
      <c r="F129" s="26">
        <f t="shared" si="95"/>
        <v>-1.7919979684332552</v>
      </c>
      <c r="G129" s="27">
        <f t="shared" si="96"/>
        <v>2.5270280147946095E-2</v>
      </c>
      <c r="H129" s="26">
        <f t="shared" si="103"/>
        <v>-0.1946080249963317</v>
      </c>
      <c r="I129" s="26">
        <f t="shared" si="97"/>
        <v>1.139325086947252</v>
      </c>
      <c r="J129" s="31">
        <f t="shared" si="98"/>
        <v>0.4936791815716346</v>
      </c>
      <c r="K129" s="27">
        <f>92*101325/8.314/O129/1000000</f>
        <v>9.7923952127888683E-4</v>
      </c>
      <c r="L129" s="28">
        <f t="shared" si="99"/>
        <v>103116310845202.27</v>
      </c>
      <c r="M129" s="27">
        <f t="shared" si="100"/>
        <v>2661022156742415</v>
      </c>
      <c r="N129" s="26">
        <f t="shared" si="101"/>
        <v>8.7336244541484724</v>
      </c>
      <c r="O129" s="29">
        <v>1145</v>
      </c>
      <c r="P129" s="30"/>
      <c r="Q129" s="27">
        <f t="shared" si="102"/>
        <v>1949487834056.5767</v>
      </c>
      <c r="R129" s="27"/>
      <c r="S129" s="27"/>
    </row>
    <row r="130" spans="4:19" ht="15.75">
      <c r="D130" s="26">
        <f t="shared" si="93"/>
        <v>0.7743422342966495</v>
      </c>
      <c r="E130" s="26">
        <f>LOG(J130)/(1+(F130/(I130-0.14*F130))^2)</f>
        <v>-0.11106705273212486</v>
      </c>
      <c r="F130" s="26">
        <f>LOG(G130)+H130</f>
        <v>-1.8584805233508375</v>
      </c>
      <c r="G130" s="27">
        <f>M130*K130/L130</f>
        <v>2.1674206961552638E-2</v>
      </c>
      <c r="H130" s="26">
        <f>-0.4-0.67*LOG(J130)</f>
        <v>-0.19442373937117743</v>
      </c>
      <c r="I130" s="26">
        <f>0.75-1.27*LOG(J130)</f>
        <v>1.1396744044755294</v>
      </c>
      <c r="J130" s="31">
        <f t="shared" si="98"/>
        <v>0.49336661707917628</v>
      </c>
      <c r="K130" s="27">
        <f>91*101325/8.314/O130/1000000</f>
        <v>9.2266387469845191E-4</v>
      </c>
      <c r="L130" s="28">
        <f t="shared" si="99"/>
        <v>105344270168369.16</v>
      </c>
      <c r="M130" s="27">
        <f>$B$7*O130^$B$8*EXP(-$B$9/1.987/O130)</f>
        <v>2474631961275355.5</v>
      </c>
      <c r="N130" s="26">
        <f>10000/O130</f>
        <v>8.3194675540765388</v>
      </c>
      <c r="O130" s="29">
        <v>1202</v>
      </c>
      <c r="P130" s="30"/>
      <c r="Q130" s="27">
        <f>L130/(1+L130/M130/K130)*D130</f>
        <v>1730512148909.8711</v>
      </c>
      <c r="R130" s="27"/>
      <c r="S130" s="27"/>
    </row>
    <row r="131" spans="4:19" ht="15.75">
      <c r="D131" s="26">
        <f t="shared" si="93"/>
        <v>0.76672655182819383</v>
      </c>
      <c r="E131" s="26">
        <f>LOG(J131)/(1+(F131/(I131-0.14*F131))^2)</f>
        <v>-0.11535949681576065</v>
      </c>
      <c r="F131" s="26">
        <f>LOG(G131)+H131</f>
        <v>-1.7893983220071021</v>
      </c>
      <c r="G131" s="27">
        <f>M131*K131/L131</f>
        <v>2.5421242333579161E-2</v>
      </c>
      <c r="H131" s="26">
        <f>-0.4-0.67*LOG(J131)</f>
        <v>-0.19459509267175948</v>
      </c>
      <c r="I131" s="26">
        <f>0.75-1.27*LOG(J131)</f>
        <v>1.1393496004580081</v>
      </c>
      <c r="J131" s="31">
        <f t="shared" si="98"/>
        <v>0.49365724076225304</v>
      </c>
      <c r="K131" s="27">
        <f>93.5*101325/8.314/O131/1000000</f>
        <v>9.9174078640513878E-4</v>
      </c>
      <c r="L131" s="28">
        <f t="shared" si="99"/>
        <v>103274658012621.56</v>
      </c>
      <c r="M131" s="27">
        <f>$B$7*O131^$B$8*EXP(-$B$9/1.987/O131)</f>
        <v>2647234180791137</v>
      </c>
      <c r="N131" s="26">
        <f>10000/O131</f>
        <v>8.7032201914708445</v>
      </c>
      <c r="O131" s="29">
        <v>1149</v>
      </c>
      <c r="P131" s="30"/>
      <c r="Q131" s="27">
        <f>L131/(1+L131/M131/K131)*D131</f>
        <v>1963038103048.5679</v>
      </c>
      <c r="R131" s="27"/>
      <c r="S131" s="27"/>
    </row>
    <row r="132" spans="4:19">
      <c r="D132" s="2" t="s">
        <v>4</v>
      </c>
      <c r="E132" s="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10</v>
      </c>
      <c r="K132" t="s">
        <v>11</v>
      </c>
      <c r="L132" t="s">
        <v>12</v>
      </c>
      <c r="M132" t="s">
        <v>13</v>
      </c>
      <c r="N132" t="s">
        <v>14</v>
      </c>
      <c r="P132">
        <f>760*50</f>
        <v>38000</v>
      </c>
      <c r="Q132" t="s">
        <v>16</v>
      </c>
      <c r="R132" s="6"/>
      <c r="S132" s="6"/>
    </row>
    <row r="133" spans="4:19" ht="15.75">
      <c r="D133" s="2">
        <f t="shared" ref="D133:D145" si="104">10^E133</f>
        <v>0.5527837999077565</v>
      </c>
      <c r="E133" s="2">
        <f t="shared" ref="E133:E143" si="105">LOG(J133)/(1+(F133/(I133-0.14*F133))^2)</f>
        <v>-0.25744469304659462</v>
      </c>
      <c r="F133" s="2">
        <f t="shared" ref="F133:F143" si="106">LOG(G133)+H133</f>
        <v>-0.50371597046472172</v>
      </c>
      <c r="G133" s="6">
        <f t="shared" ref="G133:G143" si="107">M133*K133/L133</f>
        <v>0.49389799400442602</v>
      </c>
      <c r="H133" s="2">
        <f>-0.4-0.67*LOG(J133)</f>
        <v>-0.19735323271742669</v>
      </c>
      <c r="I133" s="2">
        <f t="shared" ref="I133:I143" si="108">0.75-1.27*LOG(J133)</f>
        <v>1.134121484252042</v>
      </c>
      <c r="J133" s="4">
        <f t="shared" ref="J133:J145" si="109">(1-$B$10)*EXP(-O133/$B$11)+$B$10*EXP(-O133/$B$12)+EXP(-B$13/O133)</f>
        <v>0.49835880799214288</v>
      </c>
      <c r="K133" s="6">
        <f>$P$132*101325/760/8.314/O133/1000000</f>
        <v>2.0312124127976907E-3</v>
      </c>
      <c r="L133" s="9">
        <f t="shared" ref="L133:L145" si="110">B$4*O133^B$5*EXP(-B$6/1.987/O133)</f>
        <v>57198719309897.531</v>
      </c>
      <c r="M133" s="6">
        <f t="shared" ref="M133:M143" si="111">$B$7*O133^$B$8*EXP(-$B$9/1.987/O133)</f>
        <v>1.3908113473898094E+16</v>
      </c>
      <c r="N133" s="2">
        <f t="shared" ref="N133:N143" si="112">10000/O133</f>
        <v>33.333333333333336</v>
      </c>
      <c r="O133" s="12">
        <v>300</v>
      </c>
      <c r="P133" s="13"/>
      <c r="Q133" s="6">
        <f t="shared" ref="Q133:Q143" si="113">L133/(1+L133/M133/K133)*D133</f>
        <v>10453408690581.572</v>
      </c>
      <c r="R133" s="6"/>
    </row>
    <row r="134" spans="4:19" ht="15.75">
      <c r="D134" s="2">
        <f t="shared" si="104"/>
        <v>0.61060957134847149</v>
      </c>
      <c r="E134" s="2">
        <f t="shared" si="105"/>
        <v>-0.21423639238710077</v>
      </c>
      <c r="F134" s="2">
        <f t="shared" si="106"/>
        <v>-0.80256281876770985</v>
      </c>
      <c r="G134" s="6">
        <f t="shared" si="107"/>
        <v>0.24800150996214926</v>
      </c>
      <c r="H134" s="2">
        <f t="shared" ref="H134:H143" si="114">-0.4-0.67*LOG(J134)</f>
        <v>-0.19701714381260743</v>
      </c>
      <c r="I134" s="2">
        <f t="shared" si="108"/>
        <v>1.1347585482955054</v>
      </c>
      <c r="J134" s="4">
        <f t="shared" si="109"/>
        <v>0.49778351853994257</v>
      </c>
      <c r="K134" s="6">
        <f t="shared" ref="K134:K145" si="115">$P$132*101325/760/8.314/O134/1000000</f>
        <v>1.5234093095982679E-3</v>
      </c>
      <c r="L134" s="9">
        <f t="shared" si="110"/>
        <v>64917135642202.219</v>
      </c>
      <c r="M134" s="6">
        <f t="shared" si="111"/>
        <v>1.0568103765841732E+16</v>
      </c>
      <c r="N134" s="2">
        <f t="shared" si="112"/>
        <v>25</v>
      </c>
      <c r="O134" s="12">
        <v>400</v>
      </c>
      <c r="P134" s="13"/>
      <c r="Q134" s="6">
        <f t="shared" si="113"/>
        <v>7877024040542.3779</v>
      </c>
      <c r="R134" s="6"/>
      <c r="S134" s="6"/>
    </row>
    <row r="135" spans="4:19" ht="15.75">
      <c r="D135" s="2">
        <f t="shared" si="104"/>
        <v>0.6583840511419532</v>
      </c>
      <c r="E135" s="2">
        <f t="shared" si="105"/>
        <v>-0.18152069812527674</v>
      </c>
      <c r="F135" s="2">
        <f t="shared" si="106"/>
        <v>-1.0511006130151086</v>
      </c>
      <c r="G135" s="6">
        <f t="shared" si="107"/>
        <v>0.13982755580564363</v>
      </c>
      <c r="H135" s="2">
        <f t="shared" si="114"/>
        <v>-0.19669337923919974</v>
      </c>
      <c r="I135" s="2">
        <f t="shared" si="108"/>
        <v>1.1353722512928601</v>
      </c>
      <c r="J135" s="4">
        <f t="shared" si="109"/>
        <v>0.49722995289119098</v>
      </c>
      <c r="K135" s="6">
        <f t="shared" si="115"/>
        <v>1.2187274476786144E-3</v>
      </c>
      <c r="L135" s="9">
        <f t="shared" si="110"/>
        <v>71614300587921.641</v>
      </c>
      <c r="M135" s="6">
        <f t="shared" si="111"/>
        <v>8216482389900526</v>
      </c>
      <c r="N135" s="2">
        <f t="shared" si="112"/>
        <v>20</v>
      </c>
      <c r="O135" s="12">
        <v>500</v>
      </c>
      <c r="P135" s="13"/>
      <c r="Q135" s="6">
        <f t="shared" si="113"/>
        <v>5784058421641.8623</v>
      </c>
      <c r="R135" s="6"/>
      <c r="S135" s="6"/>
    </row>
    <row r="136" spans="4:19" ht="15.75">
      <c r="D136" s="2">
        <f t="shared" si="104"/>
        <v>0.69524193880673812</v>
      </c>
      <c r="E136" s="2">
        <f t="shared" si="105"/>
        <v>-0.15786403799353665</v>
      </c>
      <c r="F136" s="2">
        <f t="shared" si="106"/>
        <v>-1.2627406379196942</v>
      </c>
      <c r="G136" s="6">
        <f t="shared" si="107"/>
        <v>8.5828083867181978E-2</v>
      </c>
      <c r="H136" s="2">
        <f t="shared" si="114"/>
        <v>-0.19637005482305869</v>
      </c>
      <c r="I136" s="2">
        <f t="shared" si="108"/>
        <v>1.1359851199622619</v>
      </c>
      <c r="J136" s="4">
        <f t="shared" si="109"/>
        <v>0.49667775415809401</v>
      </c>
      <c r="K136" s="6">
        <f t="shared" si="115"/>
        <v>1.0156062063988453E-3</v>
      </c>
      <c r="L136" s="9">
        <f t="shared" si="110"/>
        <v>77596030140271.719</v>
      </c>
      <c r="M136" s="6">
        <f t="shared" si="111"/>
        <v>6557579641280926</v>
      </c>
      <c r="N136" s="2">
        <f t="shared" si="112"/>
        <v>16.666666666666668</v>
      </c>
      <c r="O136" s="12">
        <v>600</v>
      </c>
      <c r="P136" s="13"/>
      <c r="Q136" s="6">
        <f t="shared" si="113"/>
        <v>4264261328735.1348</v>
      </c>
      <c r="R136" s="6"/>
    </row>
    <row r="137" spans="4:19" ht="15.75">
      <c r="D137" s="2">
        <f t="shared" si="104"/>
        <v>0.72364820557204523</v>
      </c>
      <c r="E137" s="2">
        <f t="shared" si="105"/>
        <v>-0.14047251047361395</v>
      </c>
      <c r="F137" s="2">
        <f t="shared" si="106"/>
        <v>-1.446648192891808</v>
      </c>
      <c r="G137" s="6">
        <f t="shared" si="107"/>
        <v>5.6156308761922118E-2</v>
      </c>
      <c r="H137" s="2">
        <f t="shared" si="114"/>
        <v>-0.19604674612655482</v>
      </c>
      <c r="I137" s="2">
        <f t="shared" si="108"/>
        <v>1.1365979588347395</v>
      </c>
      <c r="J137" s="4">
        <f t="shared" si="109"/>
        <v>0.49612619547182518</v>
      </c>
      <c r="K137" s="6">
        <f t="shared" si="115"/>
        <v>8.7051960548472458E-4</v>
      </c>
      <c r="L137" s="9">
        <f t="shared" si="110"/>
        <v>83041673073623.266</v>
      </c>
      <c r="M137" s="6">
        <f t="shared" si="111"/>
        <v>5356931427905459</v>
      </c>
      <c r="N137" s="2">
        <f t="shared" si="112"/>
        <v>14.285714285714286</v>
      </c>
      <c r="O137" s="12">
        <v>700</v>
      </c>
      <c r="P137" s="13"/>
      <c r="Q137" s="6">
        <f t="shared" si="113"/>
        <v>3195169748492.3594</v>
      </c>
      <c r="R137" s="6"/>
    </row>
    <row r="138" spans="4:19" ht="15.75">
      <c r="D138" s="2">
        <f t="shared" si="104"/>
        <v>0.74590591441347298</v>
      </c>
      <c r="E138" s="2">
        <f t="shared" si="105"/>
        <v>-0.12731594924041306</v>
      </c>
      <c r="F138" s="2">
        <f t="shared" si="106"/>
        <v>-1.6090886935331103</v>
      </c>
      <c r="G138" s="6">
        <f t="shared" si="107"/>
        <v>3.8604216668311112E-2</v>
      </c>
      <c r="H138" s="2">
        <f t="shared" si="114"/>
        <v>-0.19572343799145669</v>
      </c>
      <c r="I138" s="2">
        <f t="shared" si="108"/>
        <v>1.1372107966430598</v>
      </c>
      <c r="J138" s="4">
        <f t="shared" si="109"/>
        <v>0.49557525024545401</v>
      </c>
      <c r="K138" s="6">
        <f t="shared" si="115"/>
        <v>7.6170465479913395E-4</v>
      </c>
      <c r="L138" s="9">
        <f t="shared" si="110"/>
        <v>88066867137719.016</v>
      </c>
      <c r="M138" s="6">
        <f t="shared" si="111"/>
        <v>4463347307730983.5</v>
      </c>
      <c r="N138" s="2">
        <f t="shared" si="112"/>
        <v>12.5</v>
      </c>
      <c r="O138" s="12">
        <v>800</v>
      </c>
      <c r="P138" s="13"/>
      <c r="Q138" s="6">
        <f t="shared" si="113"/>
        <v>2441637918596.208</v>
      </c>
      <c r="R138" s="6"/>
    </row>
    <row r="139" spans="4:19" ht="15.75">
      <c r="D139" s="2">
        <f t="shared" si="104"/>
        <v>0.76369919505609152</v>
      </c>
      <c r="E139" s="2">
        <f t="shared" si="105"/>
        <v>-0.11707766714636285</v>
      </c>
      <c r="F139" s="2">
        <f t="shared" si="106"/>
        <v>-1.7544701112727172</v>
      </c>
      <c r="G139" s="6">
        <f t="shared" si="107"/>
        <v>2.7601330577326392E-2</v>
      </c>
      <c r="H139" s="2">
        <f t="shared" si="114"/>
        <v>-0.19540012987640834</v>
      </c>
      <c r="I139" s="2">
        <f t="shared" si="108"/>
        <v>1.1378236344133752</v>
      </c>
      <c r="J139" s="4">
        <f t="shared" si="109"/>
        <v>0.49502491687463085</v>
      </c>
      <c r="K139" s="6">
        <f t="shared" si="115"/>
        <v>6.7707080426589682E-4</v>
      </c>
      <c r="L139" s="9">
        <f t="shared" si="110"/>
        <v>92751225604224.75</v>
      </c>
      <c r="M139" s="6">
        <f t="shared" si="111"/>
        <v>3781077581878734.5</v>
      </c>
      <c r="N139" s="2">
        <f t="shared" si="112"/>
        <v>11.111111111111111</v>
      </c>
      <c r="O139" s="12">
        <v>900</v>
      </c>
      <c r="P139" s="13"/>
      <c r="Q139" s="6">
        <f t="shared" si="113"/>
        <v>1902599378587.8464</v>
      </c>
      <c r="R139" s="6"/>
      <c r="S139" s="6"/>
    </row>
    <row r="140" spans="4:19" ht="15.75">
      <c r="D140" s="2">
        <f t="shared" si="104"/>
        <v>0.77820082345192543</v>
      </c>
      <c r="E140" s="2">
        <f t="shared" si="105"/>
        <v>-0.10890831398403916</v>
      </c>
      <c r="F140" s="2">
        <f t="shared" si="106"/>
        <v>-1.8859906772668611</v>
      </c>
      <c r="G140" s="6">
        <f t="shared" si="107"/>
        <v>2.037446175325296E-2</v>
      </c>
      <c r="H140" s="2">
        <f t="shared" si="114"/>
        <v>-0.19507682176207602</v>
      </c>
      <c r="I140" s="2">
        <f t="shared" si="108"/>
        <v>1.1384364721823335</v>
      </c>
      <c r="J140" s="4">
        <f t="shared" si="109"/>
        <v>0.49447519464696282</v>
      </c>
      <c r="K140" s="6">
        <f t="shared" si="115"/>
        <v>6.093637238393072E-4</v>
      </c>
      <c r="L140" s="9">
        <f t="shared" si="110"/>
        <v>97152270084712.828</v>
      </c>
      <c r="M140" s="6">
        <f t="shared" si="111"/>
        <v>3248347634826830.5</v>
      </c>
      <c r="N140" s="2">
        <f t="shared" si="112"/>
        <v>10</v>
      </c>
      <c r="O140" s="12">
        <v>1000</v>
      </c>
      <c r="P140" s="13"/>
      <c r="Q140" s="6">
        <f t="shared" si="113"/>
        <v>1509632381997.5642</v>
      </c>
      <c r="R140" s="6"/>
    </row>
    <row r="141" spans="4:19" ht="15.75">
      <c r="D141" s="2">
        <f t="shared" si="104"/>
        <v>0.79022684871811277</v>
      </c>
      <c r="E141" s="2">
        <f t="shared" si="105"/>
        <v>-0.1022482188306847</v>
      </c>
      <c r="F141" s="2">
        <f t="shared" si="106"/>
        <v>-2.006036602928063</v>
      </c>
      <c r="G141" s="6">
        <f t="shared" si="107"/>
        <v>1.5442475134895857E-2</v>
      </c>
      <c r="H141" s="2">
        <f t="shared" si="114"/>
        <v>-0.19475351364776933</v>
      </c>
      <c r="I141" s="2">
        <f t="shared" si="108"/>
        <v>1.1390493099512433</v>
      </c>
      <c r="J141" s="4">
        <f t="shared" si="109"/>
        <v>0.49392608288260442</v>
      </c>
      <c r="K141" s="6">
        <f t="shared" si="115"/>
        <v>5.5396702167209743E-4</v>
      </c>
      <c r="L141" s="9">
        <f t="shared" si="110"/>
        <v>101313130365237.22</v>
      </c>
      <c r="M141" s="6">
        <f t="shared" si="111"/>
        <v>2824221362097088</v>
      </c>
      <c r="N141" s="2">
        <f t="shared" si="112"/>
        <v>9.0909090909090917</v>
      </c>
      <c r="O141" s="12">
        <v>1100</v>
      </c>
      <c r="P141" s="13"/>
      <c r="Q141" s="6">
        <f t="shared" si="113"/>
        <v>1217528400786.0427</v>
      </c>
      <c r="R141" s="6"/>
    </row>
    <row r="142" spans="4:19" ht="15.75">
      <c r="D142" s="2">
        <f t="shared" si="104"/>
        <v>0.80035330209052136</v>
      </c>
      <c r="E142" s="2">
        <f t="shared" si="105"/>
        <v>-9.6718258911444616E-2</v>
      </c>
      <c r="F142" s="2">
        <f t="shared" si="106"/>
        <v>-2.1164321044538594</v>
      </c>
      <c r="G142" s="6">
        <f t="shared" si="107"/>
        <v>1.1967352986595124E-2</v>
      </c>
      <c r="H142" s="2">
        <f t="shared" si="114"/>
        <v>-0.19443020553346355</v>
      </c>
      <c r="I142" s="2">
        <f t="shared" si="108"/>
        <v>1.1396621477201512</v>
      </c>
      <c r="J142" s="4">
        <f t="shared" si="109"/>
        <v>0.49337758090359785</v>
      </c>
      <c r="K142" s="6">
        <f t="shared" si="115"/>
        <v>5.0780310319942267E-4</v>
      </c>
      <c r="L142" s="9">
        <f t="shared" si="110"/>
        <v>105267110281052.58</v>
      </c>
      <c r="M142" s="6">
        <f t="shared" si="111"/>
        <v>2480821126682758.5</v>
      </c>
      <c r="N142" s="2">
        <f t="shared" si="112"/>
        <v>8.3333333333333339</v>
      </c>
      <c r="O142" s="12">
        <v>1200</v>
      </c>
      <c r="P142" s="13"/>
      <c r="Q142" s="6">
        <f t="shared" si="113"/>
        <v>996336501585.34058</v>
      </c>
    </row>
    <row r="143" spans="4:19" ht="15.75">
      <c r="D143" s="2">
        <f t="shared" si="104"/>
        <v>0.80899455899218442</v>
      </c>
      <c r="E143" s="2">
        <f t="shared" si="105"/>
        <v>-9.205439928713019E-2</v>
      </c>
      <c r="F143" s="2">
        <f t="shared" si="106"/>
        <v>-2.218601400543708</v>
      </c>
      <c r="G143" s="6">
        <f t="shared" si="107"/>
        <v>9.4516035528182055E-3</v>
      </c>
      <c r="H143" s="2">
        <f t="shared" si="114"/>
        <v>-0.19410689741915779</v>
      </c>
      <c r="I143" s="2">
        <f t="shared" si="108"/>
        <v>1.140274985489059</v>
      </c>
      <c r="J143" s="4">
        <f t="shared" si="109"/>
        <v>0.49282968803277855</v>
      </c>
      <c r="K143" s="6">
        <f t="shared" si="115"/>
        <v>4.6874132603023634E-4</v>
      </c>
      <c r="L143" s="9">
        <f t="shared" si="110"/>
        <v>109040548617475.11</v>
      </c>
      <c r="M143" s="6">
        <f t="shared" si="111"/>
        <v>2198671163565583</v>
      </c>
      <c r="N143" s="2">
        <f t="shared" si="112"/>
        <v>7.6923076923076925</v>
      </c>
      <c r="O143" s="12">
        <v>1300</v>
      </c>
      <c r="P143" s="13"/>
      <c r="Q143" s="6">
        <f t="shared" si="113"/>
        <v>825949744614.73425</v>
      </c>
      <c r="R143" s="6"/>
    </row>
    <row r="144" spans="4:19" ht="15.75">
      <c r="D144" s="2">
        <f t="shared" si="104"/>
        <v>0.82296071289426764</v>
      </c>
      <c r="E144" s="2">
        <f>LOG(J144)/(1+(F144/(I144-0.14*F144))^2)</f>
        <v>-8.4620896963290684E-2</v>
      </c>
      <c r="F144" s="2">
        <f>LOG(G144)+H144</f>
        <v>-2.4025731271215167</v>
      </c>
      <c r="G144" s="6">
        <f>M144*K144/L144</f>
        <v>6.1785583725054256E-3</v>
      </c>
      <c r="H144" s="2">
        <f>-0.4-0.67*LOG(J144)</f>
        <v>-0.19346028119054631</v>
      </c>
      <c r="I144" s="2">
        <f>0.75-1.27*LOG(J144)</f>
        <v>1.141500661026875</v>
      </c>
      <c r="J144" s="4">
        <f t="shared" si="109"/>
        <v>0.49173572691080875</v>
      </c>
      <c r="K144" s="6">
        <f t="shared" si="115"/>
        <v>4.0624248255953814E-4</v>
      </c>
      <c r="L144" s="9">
        <f t="shared" si="110"/>
        <v>116126973303923.45</v>
      </c>
      <c r="M144" s="6">
        <f>$B$7*O144^$B$8*EXP(-$B$9/1.987/O144)</f>
        <v>1766179840818384.2</v>
      </c>
      <c r="N144" s="2">
        <f>10000/O144</f>
        <v>6.666666666666667</v>
      </c>
      <c r="O144" s="12">
        <v>1500</v>
      </c>
      <c r="P144" s="13"/>
      <c r="Q144" s="6">
        <f>L144/(1+L144/M144/K144)*D144</f>
        <v>586846212088.98926</v>
      </c>
      <c r="R144" s="6"/>
    </row>
    <row r="145" spans="4:19" ht="15.75">
      <c r="D145" s="2">
        <f t="shared" si="104"/>
        <v>0.83829835951150444</v>
      </c>
      <c r="E145" s="2">
        <f>LOG(J145)/(1+(F145/(I145-0.14*F145))^2)</f>
        <v>-7.6601383722946809E-2</v>
      </c>
      <c r="F145" s="2">
        <f>LOG(G145)+H145</f>
        <v>-2.6390661442258381</v>
      </c>
      <c r="G145" s="6">
        <f>M145*K145/L145</f>
        <v>3.5762198763099728E-3</v>
      </c>
      <c r="H145" s="2">
        <f>-0.4-0.67*LOG(J145)</f>
        <v>-0.19249035684762902</v>
      </c>
      <c r="I145" s="2">
        <f>0.75-1.27*LOG(J145)</f>
        <v>1.1433391743335988</v>
      </c>
      <c r="J145" s="4">
        <f t="shared" si="109"/>
        <v>0.49009933665337763</v>
      </c>
      <c r="K145" s="6">
        <f t="shared" si="115"/>
        <v>3.3853540213294841E-4</v>
      </c>
      <c r="L145" s="9">
        <f t="shared" si="110"/>
        <v>125826714030766.56</v>
      </c>
      <c r="M145" s="6">
        <f>$B$7*O145^$B$8*EXP(-$B$9/1.987/O145)</f>
        <v>1329208091243828.7</v>
      </c>
      <c r="N145" s="2">
        <f>10000/O145</f>
        <v>5.5555555555555554</v>
      </c>
      <c r="O145" s="12">
        <v>1800</v>
      </c>
      <c r="P145" s="13"/>
      <c r="Q145" s="6">
        <f>L145/(1+L145/M145/K145)*D145</f>
        <v>375876627923.52515</v>
      </c>
      <c r="R145" s="6"/>
    </row>
    <row r="146" spans="4:19">
      <c r="D146" s="2" t="s">
        <v>4</v>
      </c>
      <c r="E146" s="2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P146">
        <f>760*100</f>
        <v>76000</v>
      </c>
      <c r="Q146" t="s">
        <v>16</v>
      </c>
      <c r="R146" s="6"/>
    </row>
    <row r="147" spans="4:19" ht="15.75">
      <c r="D147" s="2">
        <f t="shared" ref="D147:D159" si="116">10^E147</f>
        <v>0.50870426648062961</v>
      </c>
      <c r="E147" s="2">
        <f t="shared" ref="E147:E157" si="117">LOG(J147)/(1+(F147/(I147-0.14*F147))^2)</f>
        <v>-0.29353461994437868</v>
      </c>
      <c r="F147" s="2">
        <f t="shared" ref="F147:F157" si="118">LOG(G147)+H147</f>
        <v>-0.20268597480074058</v>
      </c>
      <c r="G147" s="6">
        <f t="shared" ref="G147:G157" si="119">M147*K147/L147</f>
        <v>0.98779598800885204</v>
      </c>
      <c r="H147" s="2">
        <f>-0.4-0.67*LOG(J147)</f>
        <v>-0.19735323271742669</v>
      </c>
      <c r="I147" s="2">
        <f t="shared" ref="I147:I157" si="120">0.75-1.27*LOG(J147)</f>
        <v>1.134121484252042</v>
      </c>
      <c r="J147" s="4">
        <f t="shared" ref="J147:J159" si="121">(1-$B$10)*EXP(-O147/$B$11)+$B$10*EXP(-O147/$B$12)+EXP(-B$13/O147)</f>
        <v>0.49835880799214288</v>
      </c>
      <c r="K147" s="6">
        <f>$P$146*101325/760/8.314/O147/1000000</f>
        <v>4.0624248255953814E-3</v>
      </c>
      <c r="L147" s="9">
        <f t="shared" ref="L147:L159" si="122">B$4*O147^B$5*EXP(-B$6/1.987/O147)</f>
        <v>57198719309897.531</v>
      </c>
      <c r="M147" s="6">
        <f t="shared" ref="M147:M157" si="123">$B$7*O147^$B$8*EXP(-$B$9/1.987/O147)</f>
        <v>1.3908113473898094E+16</v>
      </c>
      <c r="N147" s="2">
        <f t="shared" ref="N147:N157" si="124">10000/O147</f>
        <v>33.333333333333336</v>
      </c>
      <c r="O147" s="12">
        <v>300</v>
      </c>
      <c r="P147" s="13"/>
      <c r="Q147" s="6">
        <f t="shared" ref="Q147:Q157" si="125">L147/(1+L147/M147/K147)*D147</f>
        <v>14459295495415.461</v>
      </c>
      <c r="R147" s="6"/>
      <c r="S147" s="6"/>
    </row>
    <row r="148" spans="4:19" ht="15.75">
      <c r="D148" s="2">
        <f t="shared" si="116"/>
        <v>0.55179147133222939</v>
      </c>
      <c r="E148" s="2">
        <f t="shared" si="117"/>
        <v>-0.25822501640118883</v>
      </c>
      <c r="F148" s="2">
        <f t="shared" si="118"/>
        <v>-0.5015328231037286</v>
      </c>
      <c r="G148" s="6">
        <f t="shared" si="119"/>
        <v>0.49600301992429852</v>
      </c>
      <c r="H148" s="2">
        <f t="shared" ref="H148:H157" si="126">-0.4-0.67*LOG(J148)</f>
        <v>-0.19701714381260743</v>
      </c>
      <c r="I148" s="2">
        <f t="shared" si="120"/>
        <v>1.1347585482955054</v>
      </c>
      <c r="J148" s="4">
        <f t="shared" si="121"/>
        <v>0.49778351853994257</v>
      </c>
      <c r="K148" s="6">
        <f>$P$146*101325/760/8.314/O148/1000000</f>
        <v>3.0468186191965358E-3</v>
      </c>
      <c r="L148" s="9">
        <f t="shared" si="122"/>
        <v>64917135642202.219</v>
      </c>
      <c r="M148" s="6">
        <f t="shared" si="123"/>
        <v>1.0568103765841732E+16</v>
      </c>
      <c r="N148" s="2">
        <f t="shared" si="124"/>
        <v>25</v>
      </c>
      <c r="O148" s="12">
        <v>400</v>
      </c>
      <c r="P148" s="13"/>
      <c r="Q148" s="6">
        <f t="shared" si="125"/>
        <v>11876437378413.037</v>
      </c>
      <c r="R148" s="6"/>
      <c r="S148" s="6"/>
    </row>
    <row r="149" spans="4:19" ht="15.75">
      <c r="D149" s="2">
        <f t="shared" si="116"/>
        <v>0.59952493163702936</v>
      </c>
      <c r="E149" s="2">
        <f t="shared" si="117"/>
        <v>-0.22219275176905978</v>
      </c>
      <c r="F149" s="2">
        <f t="shared" si="118"/>
        <v>-0.75007061735112723</v>
      </c>
      <c r="G149" s="6">
        <f t="shared" si="119"/>
        <v>0.27965511161128725</v>
      </c>
      <c r="H149" s="2">
        <f t="shared" si="126"/>
        <v>-0.19669337923919974</v>
      </c>
      <c r="I149" s="2">
        <f t="shared" si="120"/>
        <v>1.1353722512928601</v>
      </c>
      <c r="J149" s="4">
        <f t="shared" si="121"/>
        <v>0.49722995289119098</v>
      </c>
      <c r="K149" s="6">
        <f>$P$146*101325/760/8.314/O149/1000000</f>
        <v>2.4374548953572288E-3</v>
      </c>
      <c r="L149" s="9">
        <f t="shared" si="122"/>
        <v>71614300587921.641</v>
      </c>
      <c r="M149" s="6">
        <f t="shared" si="123"/>
        <v>8216482389900526</v>
      </c>
      <c r="N149" s="2">
        <f t="shared" si="124"/>
        <v>20</v>
      </c>
      <c r="O149" s="12">
        <v>500</v>
      </c>
      <c r="P149" s="13"/>
      <c r="Q149" s="6">
        <f t="shared" si="125"/>
        <v>9382894411371.3105</v>
      </c>
      <c r="R149" s="6"/>
      <c r="S149" s="6"/>
    </row>
    <row r="150" spans="4:19" ht="15.75">
      <c r="D150" s="2">
        <f t="shared" si="116"/>
        <v>0.64087001961883527</v>
      </c>
      <c r="E150" s="2">
        <f t="shared" si="117"/>
        <v>-0.19323004456299284</v>
      </c>
      <c r="F150" s="2">
        <f t="shared" si="118"/>
        <v>-0.96171064225571301</v>
      </c>
      <c r="G150" s="6">
        <f t="shared" si="119"/>
        <v>0.17165616773436396</v>
      </c>
      <c r="H150" s="2">
        <f t="shared" si="126"/>
        <v>-0.19637005482305869</v>
      </c>
      <c r="I150" s="2">
        <f t="shared" si="120"/>
        <v>1.1359851199622619</v>
      </c>
      <c r="J150" s="4">
        <f t="shared" si="121"/>
        <v>0.49667775415809401</v>
      </c>
      <c r="K150" s="6">
        <f>$P$146*101325/760/8.314/O150/1000000</f>
        <v>2.0312124127976907E-3</v>
      </c>
      <c r="L150" s="9">
        <f t="shared" si="122"/>
        <v>77596030140271.719</v>
      </c>
      <c r="M150" s="6">
        <f t="shared" si="123"/>
        <v>6557579641280926</v>
      </c>
      <c r="N150" s="2">
        <f t="shared" si="124"/>
        <v>16.666666666666668</v>
      </c>
      <c r="O150" s="12">
        <v>600</v>
      </c>
      <c r="P150" s="13"/>
      <c r="Q150" s="6">
        <f t="shared" si="125"/>
        <v>7285656441291.0039</v>
      </c>
      <c r="R150" s="6"/>
      <c r="S150" s="6"/>
    </row>
    <row r="151" spans="4:19" ht="15.75">
      <c r="D151" s="26">
        <f t="shared" si="116"/>
        <v>0.74707045616121015</v>
      </c>
      <c r="E151" s="26">
        <f t="shared" si="117"/>
        <v>-0.12663843797161239</v>
      </c>
      <c r="F151" s="26">
        <f t="shared" si="118"/>
        <v>-1.6293031707764576</v>
      </c>
      <c r="G151" s="27">
        <f t="shared" si="119"/>
        <v>3.6759493256574356E-2</v>
      </c>
      <c r="H151" s="26">
        <f t="shared" si="126"/>
        <v>-0.19467268661919288</v>
      </c>
      <c r="I151" s="26">
        <f t="shared" si="120"/>
        <v>1.1392025193934703</v>
      </c>
      <c r="J151" s="31">
        <f t="shared" si="121"/>
        <v>0.49378890024694072</v>
      </c>
      <c r="K151" s="27">
        <f>127.1*101325/8.314/O151/1000000</f>
        <v>1.3768911875551278E-3</v>
      </c>
      <c r="L151" s="28">
        <f t="shared" si="122"/>
        <v>102319889573207.83</v>
      </c>
      <c r="M151" s="27">
        <f t="shared" si="123"/>
        <v>2731680850872737.5</v>
      </c>
      <c r="N151" s="26">
        <f t="shared" si="124"/>
        <v>8.8888888888888893</v>
      </c>
      <c r="O151" s="29">
        <v>1125</v>
      </c>
      <c r="P151" s="30"/>
      <c r="Q151" s="27">
        <f t="shared" si="125"/>
        <v>2710273507139.6597</v>
      </c>
      <c r="R151" s="27"/>
      <c r="S151" s="6"/>
    </row>
    <row r="152" spans="4:19" ht="15.75">
      <c r="D152" s="26">
        <f t="shared" si="116"/>
        <v>0.74917413441216985</v>
      </c>
      <c r="E152" s="26">
        <f t="shared" si="117"/>
        <v>-0.12541722525833351</v>
      </c>
      <c r="F152" s="26">
        <f t="shared" si="118"/>
        <v>-1.646369327335905</v>
      </c>
      <c r="G152" s="27">
        <f t="shared" si="119"/>
        <v>3.5336418702736398E-2</v>
      </c>
      <c r="H152" s="26">
        <f t="shared" si="126"/>
        <v>-0.19459185959061645</v>
      </c>
      <c r="I152" s="26">
        <f t="shared" si="120"/>
        <v>1.1393557288356972</v>
      </c>
      <c r="J152" s="31">
        <f t="shared" si="121"/>
        <v>0.49365175571227266</v>
      </c>
      <c r="K152" s="27">
        <f>130.3*101325/8.314/O152/1000000</f>
        <v>1.3808711863697693E-3</v>
      </c>
      <c r="L152" s="28">
        <f t="shared" si="122"/>
        <v>103314196551391.05</v>
      </c>
      <c r="M152" s="27">
        <f t="shared" si="123"/>
        <v>2643804681647663</v>
      </c>
      <c r="N152" s="26">
        <f t="shared" si="124"/>
        <v>8.695652173913043</v>
      </c>
      <c r="O152" s="29">
        <v>1150</v>
      </c>
      <c r="P152" s="30"/>
      <c r="Q152" s="27">
        <f t="shared" si="125"/>
        <v>2641701961984.5591</v>
      </c>
      <c r="R152" s="27"/>
      <c r="S152" s="6"/>
    </row>
    <row r="153" spans="4:19" ht="15.75">
      <c r="D153" s="26">
        <f t="shared" si="116"/>
        <v>0.74970943817264546</v>
      </c>
      <c r="E153" s="26">
        <f t="shared" si="117"/>
        <v>-0.12510702173959115</v>
      </c>
      <c r="F153" s="26">
        <f t="shared" si="118"/>
        <v>-1.6527419609923635</v>
      </c>
      <c r="G153" s="27">
        <f t="shared" si="119"/>
        <v>3.4805366760527888E-2</v>
      </c>
      <c r="H153" s="26">
        <f t="shared" si="126"/>
        <v>-0.19438817547860382</v>
      </c>
      <c r="I153" s="26">
        <f t="shared" si="120"/>
        <v>1.1397418166301092</v>
      </c>
      <c r="J153" s="31">
        <f t="shared" si="121"/>
        <v>0.49330632039973876</v>
      </c>
      <c r="K153" s="27">
        <f>150.1*101325/8.314/O153/1000000</f>
        <v>1.5080873033516903E-3</v>
      </c>
      <c r="L153" s="28">
        <f t="shared" si="122"/>
        <v>105767369976470.84</v>
      </c>
      <c r="M153" s="27">
        <f t="shared" si="123"/>
        <v>2441020553084671.5</v>
      </c>
      <c r="N153" s="26">
        <f t="shared" si="124"/>
        <v>8.2440230832646328</v>
      </c>
      <c r="O153" s="29">
        <v>1213</v>
      </c>
      <c r="P153" s="30"/>
      <c r="Q153" s="27">
        <f t="shared" si="125"/>
        <v>2667056558651.3711</v>
      </c>
      <c r="R153" s="27"/>
      <c r="S153" s="6"/>
    </row>
    <row r="154" spans="4:19" ht="15.75">
      <c r="D154" s="26">
        <f t="shared" si="116"/>
        <v>0.74678653383865068</v>
      </c>
      <c r="E154" s="26">
        <f t="shared" si="117"/>
        <v>-0.12680352191242716</v>
      </c>
      <c r="F154" s="26">
        <f t="shared" si="118"/>
        <v>-1.6294415385467467</v>
      </c>
      <c r="G154" s="27">
        <f t="shared" si="119"/>
        <v>3.6729732440432289E-2</v>
      </c>
      <c r="H154" s="26">
        <f t="shared" si="126"/>
        <v>-0.19445930326375108</v>
      </c>
      <c r="I154" s="26">
        <f t="shared" si="120"/>
        <v>1.1396069923209495</v>
      </c>
      <c r="J154" s="31">
        <f t="shared" si="121"/>
        <v>0.49342692112865838</v>
      </c>
      <c r="K154" s="27">
        <f>150.1*101325/8.314/O154/1000000</f>
        <v>1.5359444995513016E-3</v>
      </c>
      <c r="L154" s="28">
        <f t="shared" si="122"/>
        <v>104918996457267.05</v>
      </c>
      <c r="M154" s="27">
        <f t="shared" si="123"/>
        <v>2508975206408731</v>
      </c>
      <c r="N154" s="26">
        <f t="shared" si="124"/>
        <v>8.3963056255247697</v>
      </c>
      <c r="O154" s="29">
        <v>1191</v>
      </c>
      <c r="P154" s="30"/>
      <c r="Q154" s="27">
        <f t="shared" si="125"/>
        <v>2775893608169.6318</v>
      </c>
      <c r="R154" s="27"/>
      <c r="S154" s="6"/>
    </row>
    <row r="155" spans="4:19" ht="15.75">
      <c r="D155" s="26">
        <f t="shared" si="116"/>
        <v>0.74556141942350151</v>
      </c>
      <c r="E155" s="26">
        <f t="shared" si="117"/>
        <v>-0.1275165735148498</v>
      </c>
      <c r="F155" s="26">
        <f t="shared" si="118"/>
        <v>-1.6197942953614803</v>
      </c>
      <c r="G155" s="27">
        <f t="shared" si="119"/>
        <v>3.7557277724130964E-2</v>
      </c>
      <c r="H155" s="26">
        <f t="shared" si="126"/>
        <v>-0.19448840099403858</v>
      </c>
      <c r="I155" s="26">
        <f t="shared" si="120"/>
        <v>1.1395518369217479</v>
      </c>
      <c r="J155" s="31">
        <f t="shared" si="121"/>
        <v>0.49347626628798807</v>
      </c>
      <c r="K155" s="27">
        <f>150.1*101325/8.314/O155/1000000</f>
        <v>1.547639508431134E-3</v>
      </c>
      <c r="L155" s="28">
        <f t="shared" si="122"/>
        <v>104569406367606.5</v>
      </c>
      <c r="M155" s="27">
        <f t="shared" si="123"/>
        <v>2537633741579079.5</v>
      </c>
      <c r="N155" s="26">
        <f t="shared" si="124"/>
        <v>8.4602368866328259</v>
      </c>
      <c r="O155" s="29">
        <v>1182</v>
      </c>
      <c r="P155" s="30"/>
      <c r="Q155" s="27">
        <f t="shared" si="125"/>
        <v>2822085021418.5254</v>
      </c>
      <c r="R155" s="27"/>
      <c r="S155" s="6"/>
    </row>
    <row r="156" spans="4:19" ht="15.75">
      <c r="D156" s="26">
        <f t="shared" si="116"/>
        <v>0.75611590745451474</v>
      </c>
      <c r="E156" s="26">
        <f t="shared" si="117"/>
        <v>-0.12141162498890588</v>
      </c>
      <c r="F156" s="26">
        <f t="shared" si="118"/>
        <v>-1.7052808208059096</v>
      </c>
      <c r="G156" s="27">
        <f t="shared" si="119"/>
        <v>3.0827795369185156E-2</v>
      </c>
      <c r="H156" s="26">
        <f t="shared" si="126"/>
        <v>-0.19422328834030786</v>
      </c>
      <c r="I156" s="26">
        <f t="shared" si="120"/>
        <v>1.1400543638922522</v>
      </c>
      <c r="J156" s="31">
        <f t="shared" si="121"/>
        <v>0.49302685933962409</v>
      </c>
      <c r="K156" s="27">
        <f>150.1*101325/8.314/O156/1000000</f>
        <v>1.4472388441183546E-3</v>
      </c>
      <c r="L156" s="28">
        <f t="shared" si="122"/>
        <v>107701478548911.47</v>
      </c>
      <c r="M156" s="27">
        <f t="shared" si="123"/>
        <v>2294161157405337.5</v>
      </c>
      <c r="N156" s="26">
        <f t="shared" si="124"/>
        <v>7.9113924050632916</v>
      </c>
      <c r="O156" s="29">
        <v>1264</v>
      </c>
      <c r="P156" s="30"/>
      <c r="Q156" s="27">
        <f t="shared" si="125"/>
        <v>2435378050734.7197</v>
      </c>
      <c r="R156" s="27"/>
      <c r="S156" s="6"/>
    </row>
    <row r="157" spans="4:19" ht="15.75">
      <c r="D157" s="26">
        <f t="shared" si="116"/>
        <v>0.75378716099430165</v>
      </c>
      <c r="E157" s="26">
        <f t="shared" si="117"/>
        <v>-0.12275126401670564</v>
      </c>
      <c r="F157" s="26">
        <f t="shared" si="118"/>
        <v>-1.6859420708918746</v>
      </c>
      <c r="G157" s="27">
        <f t="shared" si="119"/>
        <v>3.2236111257003236E-2</v>
      </c>
      <c r="H157" s="26">
        <f t="shared" si="126"/>
        <v>-0.194284716882026</v>
      </c>
      <c r="I157" s="26">
        <f t="shared" si="120"/>
        <v>1.1399379247161598</v>
      </c>
      <c r="J157" s="31">
        <f t="shared" si="121"/>
        <v>0.49313095377506627</v>
      </c>
      <c r="K157" s="27">
        <f>150.1*101325/8.314/O157/1000000</f>
        <v>1.4693252200526908E-3</v>
      </c>
      <c r="L157" s="28">
        <f t="shared" si="122"/>
        <v>106986127392026.59</v>
      </c>
      <c r="M157" s="27">
        <f t="shared" si="123"/>
        <v>2347211263032438</v>
      </c>
      <c r="N157" s="26">
        <f t="shared" si="124"/>
        <v>8.0321285140562253</v>
      </c>
      <c r="O157" s="29">
        <v>1245</v>
      </c>
      <c r="P157" s="30"/>
      <c r="Q157" s="27">
        <f t="shared" si="125"/>
        <v>2518487509715.228</v>
      </c>
      <c r="R157" s="27"/>
      <c r="S157" s="6"/>
    </row>
    <row r="158" spans="4:19" ht="15.75">
      <c r="D158" s="2">
        <f t="shared" si="116"/>
        <v>0.79782257302572679</v>
      </c>
      <c r="E158" s="2">
        <f>LOG(J158)/(1+(F158/(I158-0.14*F158))^2)</f>
        <v>-9.8093680232462385E-2</v>
      </c>
      <c r="F158" s="2">
        <f>LOG(G158)+H158</f>
        <v>-2.101543131457535</v>
      </c>
      <c r="G158" s="6">
        <f>M158*K158/L158</f>
        <v>1.2357116745010851E-2</v>
      </c>
      <c r="H158" s="2">
        <f>-0.4-0.67*LOG(J158)</f>
        <v>-0.19346028119054631</v>
      </c>
      <c r="I158" s="2">
        <f>0.75-1.27*LOG(J158)</f>
        <v>1.141500661026875</v>
      </c>
      <c r="J158" s="4">
        <f t="shared" si="121"/>
        <v>0.49173572691080875</v>
      </c>
      <c r="K158" s="6">
        <f>$P$146*101325/760/8.314/O158/1000000</f>
        <v>8.1248496511907627E-4</v>
      </c>
      <c r="L158" s="9">
        <f t="shared" si="122"/>
        <v>116126973303923.45</v>
      </c>
      <c r="M158" s="6">
        <f>$B$7*O158^$B$8*EXP(-$B$9/1.987/O158)</f>
        <v>1766179840818384.2</v>
      </c>
      <c r="N158" s="2">
        <f>10000/O158</f>
        <v>6.666666666666667</v>
      </c>
      <c r="O158" s="12">
        <v>1500</v>
      </c>
      <c r="P158" s="13"/>
      <c r="Q158" s="6">
        <f>L158/(1+L158/M158/K158)*D158</f>
        <v>1130896437902.6616</v>
      </c>
    </row>
    <row r="159" spans="4:19" ht="15.75">
      <c r="D159" s="2">
        <f t="shared" si="116"/>
        <v>0.81695346850217521</v>
      </c>
      <c r="E159" s="2">
        <f>LOG(J159)/(1+(F159/(I159-0.14*F159))^2)</f>
        <v>-8.7802679022341804E-2</v>
      </c>
      <c r="F159" s="2">
        <f>LOG(G159)+H159</f>
        <v>-2.3380361485618568</v>
      </c>
      <c r="G159" s="6">
        <f>M159*K159/L159</f>
        <v>7.1524397526199456E-3</v>
      </c>
      <c r="H159" s="2">
        <f>-0.4-0.67*LOG(J159)</f>
        <v>-0.19249035684762902</v>
      </c>
      <c r="I159" s="2">
        <f>0.75-1.27*LOG(J159)</f>
        <v>1.1433391743335988</v>
      </c>
      <c r="J159" s="4">
        <f t="shared" si="121"/>
        <v>0.49009933665337763</v>
      </c>
      <c r="K159" s="6">
        <f>$P$146*101325/760/8.314/O159/1000000</f>
        <v>6.7707080426589682E-4</v>
      </c>
      <c r="L159" s="9">
        <f t="shared" si="122"/>
        <v>125826714030766.56</v>
      </c>
      <c r="M159" s="6">
        <f>$B$7*O159^$B$8*EXP(-$B$9/1.987/O159)</f>
        <v>1329208091243828.7</v>
      </c>
      <c r="N159" s="2">
        <f>10000/O159</f>
        <v>5.5555555555555554</v>
      </c>
      <c r="O159" s="12">
        <v>1800</v>
      </c>
      <c r="P159" s="13"/>
      <c r="Q159" s="6">
        <f>L159/(1+L159/M159/K159)*D159</f>
        <v>730010615151.26025</v>
      </c>
    </row>
    <row r="160" spans="4:19">
      <c r="D160" s="2" t="s">
        <v>4</v>
      </c>
      <c r="E160" s="2" t="s">
        <v>5</v>
      </c>
      <c r="F160" t="s">
        <v>6</v>
      </c>
      <c r="G160" t="s">
        <v>7</v>
      </c>
      <c r="H160" t="s">
        <v>8</v>
      </c>
      <c r="I160" t="s">
        <v>9</v>
      </c>
      <c r="J160" t="s">
        <v>10</v>
      </c>
      <c r="K160" t="s">
        <v>11</v>
      </c>
      <c r="L160" t="s">
        <v>12</v>
      </c>
      <c r="M160" t="s">
        <v>13</v>
      </c>
      <c r="N160" t="s">
        <v>14</v>
      </c>
      <c r="P160">
        <f>760*300</f>
        <v>228000</v>
      </c>
      <c r="Q160" t="s">
        <v>16</v>
      </c>
      <c r="R160" s="6"/>
    </row>
    <row r="161" spans="4:25" ht="15.75">
      <c r="D161" s="2">
        <f t="shared" ref="D161:D173" si="127">10^E161</f>
        <v>0.51927353835738532</v>
      </c>
      <c r="E161" s="2">
        <f t="shared" ref="E161:E171" si="128">LOG(J161)/(1+(F161/(I161-0.14*F161))^2)</f>
        <v>-0.28460380803883273</v>
      </c>
      <c r="F161" s="2">
        <f t="shared" ref="F161:F171" si="129">LOG(G161)+H161</f>
        <v>0.2744352799189218</v>
      </c>
      <c r="G161" s="6">
        <f t="shared" ref="G161:G171" si="130">M161*K161/L161</f>
        <v>2.9633879640265559</v>
      </c>
      <c r="H161" s="2">
        <f>-0.4-0.67*LOG(J161)</f>
        <v>-0.19735323271742669</v>
      </c>
      <c r="I161" s="2">
        <f t="shared" ref="I161:I171" si="131">0.75-1.27*LOG(J161)</f>
        <v>1.134121484252042</v>
      </c>
      <c r="J161" s="4">
        <f t="shared" ref="J161:J173" si="132">(1-$B$10)*EXP(-O161/$B$11)+$B$10*EXP(-O161/$B$12)+EXP(-B$13/O161)</f>
        <v>0.49835880799214288</v>
      </c>
      <c r="K161" s="6">
        <f>$P$160*101325/760/8.314/O161/1000000</f>
        <v>1.2187274476786143E-2</v>
      </c>
      <c r="L161" s="9">
        <f t="shared" ref="L161:L173" si="133">B$4*O161^B$5*EXP(-B$6/1.987/O161)</f>
        <v>57198719309897.531</v>
      </c>
      <c r="M161" s="6">
        <f t="shared" ref="M161:M171" si="134">$B$7*O161^$B$8*EXP(-$B$9/1.987/O161)</f>
        <v>1.3908113473898094E+16</v>
      </c>
      <c r="N161" s="2">
        <f t="shared" ref="N161:N171" si="135">10000/O161</f>
        <v>33.333333333333336</v>
      </c>
      <c r="O161" s="12">
        <v>300</v>
      </c>
      <c r="P161" s="13"/>
      <c r="Q161" s="6">
        <f t="shared" ref="Q161:Q171" si="136">L161/(1+L161/M161/K161)*D161</f>
        <v>22207743023832.609</v>
      </c>
      <c r="R161" s="6"/>
      <c r="S161" s="6"/>
    </row>
    <row r="162" spans="4:25" ht="15.75">
      <c r="D162" s="2">
        <f t="shared" si="127"/>
        <v>0.49794321050493751</v>
      </c>
      <c r="E162" s="2">
        <f t="shared" si="128"/>
        <v>-0.30282018489226559</v>
      </c>
      <c r="F162" s="2">
        <f t="shared" si="129"/>
        <v>-2.4411568384066218E-2</v>
      </c>
      <c r="G162" s="6">
        <f t="shared" si="130"/>
        <v>1.4880090597728954</v>
      </c>
      <c r="H162" s="2">
        <f t="shared" ref="H162:H171" si="137">-0.4-0.67*LOG(J162)</f>
        <v>-0.19701714381260743</v>
      </c>
      <c r="I162" s="2">
        <f t="shared" si="131"/>
        <v>1.1347585482955054</v>
      </c>
      <c r="J162" s="4">
        <f t="shared" si="132"/>
        <v>0.49778351853994257</v>
      </c>
      <c r="K162" s="6">
        <f t="shared" ref="K162:K173" si="138">$P$160*101325/760/8.314/O162/1000000</f>
        <v>9.1404558575896074E-3</v>
      </c>
      <c r="L162" s="9">
        <f t="shared" si="133"/>
        <v>64917135642202.219</v>
      </c>
      <c r="M162" s="6">
        <f t="shared" si="134"/>
        <v>1.0568103765841732E+16</v>
      </c>
      <c r="N162" s="2">
        <f t="shared" si="135"/>
        <v>25</v>
      </c>
      <c r="O162" s="12">
        <v>400</v>
      </c>
      <c r="P162" s="13"/>
      <c r="Q162" s="6">
        <f t="shared" si="136"/>
        <v>19332712038599.699</v>
      </c>
      <c r="R162" s="6"/>
      <c r="S162" s="6"/>
    </row>
    <row r="163" spans="4:25" ht="15.75">
      <c r="D163" s="2">
        <f t="shared" si="127"/>
        <v>0.51538156004510016</v>
      </c>
      <c r="E163" s="2">
        <f t="shared" si="128"/>
        <v>-0.2878711242288946</v>
      </c>
      <c r="F163" s="2">
        <f t="shared" si="129"/>
        <v>-0.27294936263146485</v>
      </c>
      <c r="G163" s="6">
        <f t="shared" si="130"/>
        <v>0.83896533483386171</v>
      </c>
      <c r="H163" s="2">
        <f t="shared" si="137"/>
        <v>-0.19669337923919974</v>
      </c>
      <c r="I163" s="2">
        <f t="shared" si="131"/>
        <v>1.1353722512928601</v>
      </c>
      <c r="J163" s="4">
        <f t="shared" si="132"/>
        <v>0.49722995289119098</v>
      </c>
      <c r="K163" s="6">
        <f t="shared" si="138"/>
        <v>7.3123646860716865E-3</v>
      </c>
      <c r="L163" s="9">
        <f t="shared" si="133"/>
        <v>71614300587921.641</v>
      </c>
      <c r="M163" s="6">
        <f t="shared" si="134"/>
        <v>8216482389900526</v>
      </c>
      <c r="N163" s="2">
        <f t="shared" si="135"/>
        <v>20</v>
      </c>
      <c r="O163" s="12">
        <v>500</v>
      </c>
      <c r="P163" s="13"/>
      <c r="Q163" s="6">
        <f t="shared" si="136"/>
        <v>16838333405640.131</v>
      </c>
      <c r="R163" s="6"/>
      <c r="S163" s="6"/>
    </row>
    <row r="164" spans="4:25" ht="15.75">
      <c r="D164" s="2">
        <f t="shared" si="127"/>
        <v>0.54758953514555209</v>
      </c>
      <c r="E164" s="2">
        <f t="shared" si="128"/>
        <v>-0.26154486015814976</v>
      </c>
      <c r="F164" s="2">
        <f t="shared" si="129"/>
        <v>-0.48458938753605046</v>
      </c>
      <c r="G164" s="6">
        <f t="shared" si="130"/>
        <v>0.51496850320309195</v>
      </c>
      <c r="H164" s="2">
        <f t="shared" si="137"/>
        <v>-0.19637005482305869</v>
      </c>
      <c r="I164" s="2">
        <f t="shared" si="131"/>
        <v>1.1359851199622619</v>
      </c>
      <c r="J164" s="4">
        <f t="shared" si="132"/>
        <v>0.49667775415809401</v>
      </c>
      <c r="K164" s="6">
        <f t="shared" si="138"/>
        <v>6.0936372383930716E-3</v>
      </c>
      <c r="L164" s="9">
        <f t="shared" si="133"/>
        <v>77596030140271.719</v>
      </c>
      <c r="M164" s="6">
        <f t="shared" si="134"/>
        <v>6557579641280926</v>
      </c>
      <c r="N164" s="2">
        <f t="shared" si="135"/>
        <v>16.666666666666668</v>
      </c>
      <c r="O164" s="12">
        <v>600</v>
      </c>
      <c r="P164" s="13"/>
      <c r="Q164" s="6">
        <f t="shared" si="136"/>
        <v>14443475411129.24</v>
      </c>
      <c r="R164" s="6"/>
      <c r="S164" s="6"/>
    </row>
    <row r="165" spans="4:25" ht="15.75">
      <c r="D165" s="2">
        <f t="shared" si="127"/>
        <v>0.58208925039628201</v>
      </c>
      <c r="E165" s="2">
        <f t="shared" si="128"/>
        <v>-0.23501042087777926</v>
      </c>
      <c r="F165" s="2">
        <f t="shared" si="129"/>
        <v>-0.66849694250816416</v>
      </c>
      <c r="G165" s="6">
        <f t="shared" si="130"/>
        <v>0.33693785257153275</v>
      </c>
      <c r="H165" s="2">
        <f t="shared" si="137"/>
        <v>-0.19604674612655482</v>
      </c>
      <c r="I165" s="2">
        <f t="shared" si="131"/>
        <v>1.1365979588347395</v>
      </c>
      <c r="J165" s="4">
        <f t="shared" si="132"/>
        <v>0.49612619547182518</v>
      </c>
      <c r="K165" s="6">
        <f t="shared" si="138"/>
        <v>5.2231176329083475E-3</v>
      </c>
      <c r="L165" s="9">
        <f t="shared" si="133"/>
        <v>83041673073623.266</v>
      </c>
      <c r="M165" s="6">
        <f t="shared" si="134"/>
        <v>5356931427905459</v>
      </c>
      <c r="N165" s="2">
        <f t="shared" si="135"/>
        <v>14.285714285714286</v>
      </c>
      <c r="O165" s="12">
        <v>700</v>
      </c>
      <c r="P165" s="13"/>
      <c r="Q165" s="6">
        <f t="shared" si="136"/>
        <v>12182158721854.129</v>
      </c>
      <c r="R165" s="6"/>
    </row>
    <row r="166" spans="4:25" ht="15.75">
      <c r="D166" s="2">
        <f t="shared" si="127"/>
        <v>0.61401944636910899</v>
      </c>
      <c r="E166" s="2">
        <f t="shared" si="128"/>
        <v>-0.21181787427078763</v>
      </c>
      <c r="F166" s="2">
        <f t="shared" si="129"/>
        <v>-0.83093744314946671</v>
      </c>
      <c r="G166" s="6">
        <f t="shared" si="130"/>
        <v>0.23162530000986667</v>
      </c>
      <c r="H166" s="2">
        <f t="shared" si="137"/>
        <v>-0.19572343799145669</v>
      </c>
      <c r="I166" s="2">
        <f t="shared" si="131"/>
        <v>1.1372107966430598</v>
      </c>
      <c r="J166" s="4">
        <f t="shared" si="132"/>
        <v>0.49557525024545401</v>
      </c>
      <c r="K166" s="6">
        <f t="shared" si="138"/>
        <v>4.5702279287948037E-3</v>
      </c>
      <c r="L166" s="9">
        <f t="shared" si="133"/>
        <v>88066867137719.016</v>
      </c>
      <c r="M166" s="6">
        <f t="shared" si="134"/>
        <v>4463347307730983.5</v>
      </c>
      <c r="N166" s="2">
        <f t="shared" si="135"/>
        <v>12.5</v>
      </c>
      <c r="O166" s="12">
        <v>800</v>
      </c>
      <c r="P166" s="13"/>
      <c r="Q166" s="6">
        <f t="shared" si="136"/>
        <v>10169557732589.701</v>
      </c>
      <c r="R166" s="6"/>
    </row>
    <row r="167" spans="4:25" ht="15.75">
      <c r="D167" s="2">
        <f t="shared" si="127"/>
        <v>0.64203031499146046</v>
      </c>
      <c r="E167" s="2">
        <f t="shared" si="128"/>
        <v>-0.19244446519799721</v>
      </c>
      <c r="F167" s="2">
        <f t="shared" si="129"/>
        <v>-0.97631886088907349</v>
      </c>
      <c r="G167" s="6">
        <f t="shared" si="130"/>
        <v>0.16560798346395836</v>
      </c>
      <c r="H167" s="2">
        <f t="shared" si="137"/>
        <v>-0.19540012987640834</v>
      </c>
      <c r="I167" s="2">
        <f t="shared" si="131"/>
        <v>1.1378236344133752</v>
      </c>
      <c r="J167" s="4">
        <f t="shared" si="132"/>
        <v>0.49502491687463085</v>
      </c>
      <c r="K167" s="6">
        <f t="shared" si="138"/>
        <v>4.0624248255953814E-3</v>
      </c>
      <c r="L167" s="9">
        <f t="shared" si="133"/>
        <v>92751225604224.75</v>
      </c>
      <c r="M167" s="6">
        <f t="shared" si="134"/>
        <v>3781077581878734.5</v>
      </c>
      <c r="N167" s="2">
        <f t="shared" si="135"/>
        <v>11.111111111111111</v>
      </c>
      <c r="O167" s="12">
        <v>900</v>
      </c>
      <c r="P167" s="13"/>
      <c r="Q167" s="6">
        <f t="shared" si="136"/>
        <v>8460654246177.8975</v>
      </c>
      <c r="R167" s="6"/>
    </row>
    <row r="168" spans="4:25" ht="15.75">
      <c r="D168" s="2">
        <f t="shared" si="127"/>
        <v>0.66613384658537966</v>
      </c>
      <c r="E168" s="2">
        <f t="shared" si="128"/>
        <v>-0.17643849906823653</v>
      </c>
      <c r="F168" s="2">
        <f t="shared" si="129"/>
        <v>-1.1078394268832175</v>
      </c>
      <c r="G168" s="6">
        <f t="shared" si="130"/>
        <v>0.12224677051951778</v>
      </c>
      <c r="H168" s="2">
        <f t="shared" si="137"/>
        <v>-0.19507682176207602</v>
      </c>
      <c r="I168" s="2">
        <f t="shared" si="131"/>
        <v>1.1384364721823335</v>
      </c>
      <c r="J168" s="4">
        <f t="shared" si="132"/>
        <v>0.49447519464696282</v>
      </c>
      <c r="K168" s="6">
        <f t="shared" si="138"/>
        <v>3.6561823430358432E-3</v>
      </c>
      <c r="L168" s="9">
        <f t="shared" si="133"/>
        <v>97152270084712.828</v>
      </c>
      <c r="M168" s="6">
        <f t="shared" si="134"/>
        <v>3248347634826830.5</v>
      </c>
      <c r="N168" s="2">
        <f t="shared" si="135"/>
        <v>10</v>
      </c>
      <c r="O168" s="12">
        <v>1000</v>
      </c>
      <c r="P168" s="13"/>
      <c r="Q168" s="6">
        <f t="shared" si="136"/>
        <v>7049583912508.9453</v>
      </c>
    </row>
    <row r="169" spans="4:25" ht="15.75">
      <c r="D169" s="2">
        <f t="shared" si="127"/>
        <v>0.68678162521601482</v>
      </c>
      <c r="E169" s="2">
        <f t="shared" si="128"/>
        <v>-0.16318133286761927</v>
      </c>
      <c r="F169" s="2">
        <f t="shared" si="129"/>
        <v>-1.2278853525444196</v>
      </c>
      <c r="G169" s="6">
        <f t="shared" si="130"/>
        <v>9.2654850809375133E-2</v>
      </c>
      <c r="H169" s="2">
        <f t="shared" si="137"/>
        <v>-0.19475351364776933</v>
      </c>
      <c r="I169" s="2">
        <f t="shared" si="131"/>
        <v>1.1390493099512433</v>
      </c>
      <c r="J169" s="4">
        <f t="shared" si="132"/>
        <v>0.49392608288260442</v>
      </c>
      <c r="K169" s="6">
        <f t="shared" si="138"/>
        <v>3.3238021300325848E-3</v>
      </c>
      <c r="L169" s="9">
        <f t="shared" si="133"/>
        <v>101313130365237.22</v>
      </c>
      <c r="M169" s="6">
        <f t="shared" si="134"/>
        <v>2824221362097088</v>
      </c>
      <c r="N169" s="2">
        <f t="shared" si="135"/>
        <v>9.0909090909090917</v>
      </c>
      <c r="O169" s="12">
        <v>1100</v>
      </c>
      <c r="P169" s="13"/>
      <c r="Q169" s="6">
        <f t="shared" si="136"/>
        <v>5900238464423.1074</v>
      </c>
    </row>
    <row r="170" spans="4:25" ht="15.75">
      <c r="D170" s="2">
        <f t="shared" si="127"/>
        <v>0.7045078311907923</v>
      </c>
      <c r="E170" s="2">
        <f t="shared" si="128"/>
        <v>-0.15211417498323365</v>
      </c>
      <c r="F170" s="2">
        <f t="shared" si="129"/>
        <v>-1.3382808540702158</v>
      </c>
      <c r="G170" s="6">
        <f t="shared" si="130"/>
        <v>7.180411791957074E-2</v>
      </c>
      <c r="H170" s="2">
        <f t="shared" si="137"/>
        <v>-0.19443020553346355</v>
      </c>
      <c r="I170" s="2">
        <f t="shared" si="131"/>
        <v>1.1396621477201512</v>
      </c>
      <c r="J170" s="4">
        <f t="shared" si="132"/>
        <v>0.49337758090359785</v>
      </c>
      <c r="K170" s="6">
        <f t="shared" si="138"/>
        <v>3.0468186191965358E-3</v>
      </c>
      <c r="L170" s="9">
        <f t="shared" si="133"/>
        <v>105267110281052.58</v>
      </c>
      <c r="M170" s="6">
        <f t="shared" si="134"/>
        <v>2480821126682758.5</v>
      </c>
      <c r="N170" s="2">
        <f t="shared" si="135"/>
        <v>8.3333333333333339</v>
      </c>
      <c r="O170" s="12">
        <v>1200</v>
      </c>
      <c r="P170" s="13"/>
      <c r="Q170" s="6">
        <f t="shared" si="136"/>
        <v>4968353132509.6426</v>
      </c>
    </row>
    <row r="171" spans="4:25" ht="15.75">
      <c r="D171" s="2">
        <f t="shared" si="127"/>
        <v>0.71980533853423223</v>
      </c>
      <c r="E171" s="2">
        <f t="shared" si="128"/>
        <v>-0.1427849366670465</v>
      </c>
      <c r="F171" s="2">
        <f t="shared" si="129"/>
        <v>-1.4404501501600646</v>
      </c>
      <c r="G171" s="6">
        <f t="shared" si="130"/>
        <v>5.670962131690923E-2</v>
      </c>
      <c r="H171" s="2">
        <f t="shared" si="137"/>
        <v>-0.19410689741915779</v>
      </c>
      <c r="I171" s="2">
        <f t="shared" si="131"/>
        <v>1.140274985489059</v>
      </c>
      <c r="J171" s="4">
        <f t="shared" si="132"/>
        <v>0.49282968803277855</v>
      </c>
      <c r="K171" s="6">
        <f t="shared" si="138"/>
        <v>2.8124479561814179E-3</v>
      </c>
      <c r="L171" s="9">
        <f t="shared" si="133"/>
        <v>109040548617475.11</v>
      </c>
      <c r="M171" s="6">
        <f t="shared" si="134"/>
        <v>2198671163565583</v>
      </c>
      <c r="N171" s="2">
        <f t="shared" si="135"/>
        <v>7.6923076923076925</v>
      </c>
      <c r="O171" s="12">
        <v>1300</v>
      </c>
      <c r="P171" s="13"/>
      <c r="Q171" s="6">
        <f t="shared" si="136"/>
        <v>4212153377606.0972</v>
      </c>
    </row>
    <row r="172" spans="4:25" ht="15.75">
      <c r="D172" s="2">
        <f t="shared" si="127"/>
        <v>0.74471201111795549</v>
      </c>
      <c r="E172" s="2">
        <f>LOG(J172)/(1+(F172/(I172-0.14*F172))^2)</f>
        <v>-0.12801164156393133</v>
      </c>
      <c r="F172" s="2">
        <f>LOG(G172)+H172</f>
        <v>-1.6244218767378729</v>
      </c>
      <c r="G172" s="6">
        <f>M172*K172/L172</f>
        <v>3.7071350235032552E-2</v>
      </c>
      <c r="H172" s="2">
        <f>-0.4-0.67*LOG(J172)</f>
        <v>-0.19346028119054631</v>
      </c>
      <c r="I172" s="2">
        <f>0.75-1.27*LOG(J172)</f>
        <v>1.141500661026875</v>
      </c>
      <c r="J172" s="4">
        <f t="shared" si="132"/>
        <v>0.49173572691080875</v>
      </c>
      <c r="K172" s="6">
        <f t="shared" si="138"/>
        <v>2.4374548953572288E-3</v>
      </c>
      <c r="L172" s="9">
        <f t="shared" si="133"/>
        <v>116126973303923.45</v>
      </c>
      <c r="M172" s="6">
        <f>$B$7*O172^$B$8*EXP(-$B$9/1.987/O172)</f>
        <v>1766179840818384.2</v>
      </c>
      <c r="N172" s="2">
        <f>10000/O172</f>
        <v>6.666666666666667</v>
      </c>
      <c r="O172" s="12">
        <v>1500</v>
      </c>
      <c r="P172" s="13"/>
      <c r="Q172" s="6">
        <f>L172/(1+L172/M172/K172)*D172</f>
        <v>3091371743755.436</v>
      </c>
    </row>
    <row r="173" spans="4:25" ht="15.75">
      <c r="D173" s="2">
        <f t="shared" si="127"/>
        <v>0.77208799827649832</v>
      </c>
      <c r="E173" s="2">
        <f>LOG(J173)/(1+(F173/(I173-0.14*F173))^2)</f>
        <v>-0.11233319838456442</v>
      </c>
      <c r="F173" s="2">
        <f>LOG(G173)+H173</f>
        <v>-1.8609148938421944</v>
      </c>
      <c r="G173" s="6">
        <f>M173*K173/L173</f>
        <v>2.145731925785984E-2</v>
      </c>
      <c r="H173" s="2">
        <f>-0.4-0.67*LOG(J173)</f>
        <v>-0.19249035684762902</v>
      </c>
      <c r="I173" s="2">
        <f>0.75-1.27*LOG(J173)</f>
        <v>1.1433391743335988</v>
      </c>
      <c r="J173" s="4">
        <f t="shared" si="132"/>
        <v>0.49009933665337763</v>
      </c>
      <c r="K173" s="6">
        <f t="shared" si="138"/>
        <v>2.0312124127976907E-3</v>
      </c>
      <c r="L173" s="9">
        <f t="shared" si="133"/>
        <v>125826714030766.56</v>
      </c>
      <c r="M173" s="6">
        <f>$B$7*O173^$B$8*EXP(-$B$9/1.987/O173)</f>
        <v>1329208091243828.7</v>
      </c>
      <c r="N173" s="2">
        <f>10000/O173</f>
        <v>5.5555555555555554</v>
      </c>
      <c r="O173" s="12">
        <v>1800</v>
      </c>
      <c r="P173" s="13"/>
      <c r="Q173" s="6">
        <f>L173/(1+L173/M173/K173)*D173</f>
        <v>2040773917441.729</v>
      </c>
    </row>
    <row r="174" spans="4:25">
      <c r="D174" s="2" t="s">
        <v>4</v>
      </c>
      <c r="E174" s="2" t="s">
        <v>5</v>
      </c>
      <c r="F174" t="s">
        <v>6</v>
      </c>
      <c r="G174" t="s">
        <v>7</v>
      </c>
      <c r="H174" t="s">
        <v>8</v>
      </c>
      <c r="I174" t="s">
        <v>9</v>
      </c>
      <c r="J174" t="s">
        <v>10</v>
      </c>
      <c r="K174" t="s">
        <v>11</v>
      </c>
      <c r="L174" t="s">
        <v>12</v>
      </c>
      <c r="M174" t="s">
        <v>13</v>
      </c>
      <c r="N174" t="s">
        <v>14</v>
      </c>
      <c r="P174">
        <f>760*900</f>
        <v>684000</v>
      </c>
      <c r="Q174" t="s">
        <v>16</v>
      </c>
      <c r="R174" s="6"/>
    </row>
    <row r="175" spans="4:25" ht="15.75">
      <c r="D175" s="2">
        <f t="shared" ref="D175:D187" si="139">10^E175</f>
        <v>0.83014672882826546</v>
      </c>
      <c r="E175" s="2">
        <f t="shared" ref="E175:E185" si="140">LOG(J175)/(1+(F175/(I175-0.14*F175))^2)</f>
        <v>-8.0845139083517981E-2</v>
      </c>
      <c r="F175" s="2">
        <f t="shared" ref="F175:F185" si="141">LOG(G175)+H175</f>
        <v>-2.4899885850915999</v>
      </c>
      <c r="G175" s="6">
        <f t="shared" ref="G175:G185" si="142">M175*K175/L175</f>
        <v>5.0615461321362109E-3</v>
      </c>
      <c r="H175" s="2">
        <f>-0.4-0.67*LOG(J175)</f>
        <v>-0.19427178455745372</v>
      </c>
      <c r="I175" s="2">
        <f t="shared" ref="I175:I185" si="143">0.75-1.27*LOG(J175)</f>
        <v>1.1399624382269162</v>
      </c>
      <c r="J175" s="4">
        <f t="shared" ref="J175:J187" si="144">(1-$B$10)*EXP(-O175/$B$11)+$B$10*EXP(-O175/$B$12)+EXP(-B$13/O175)</f>
        <v>0.49310903733082306</v>
      </c>
      <c r="K175" s="6">
        <v>3.1712283466417109E-4</v>
      </c>
      <c r="L175" s="9">
        <f t="shared" ref="L175:L187" si="145">B$4*O175^B$5*EXP(-B$6/1.987/O175)</f>
        <v>107137232995417.7</v>
      </c>
      <c r="M175" s="6">
        <v>1710000000000000</v>
      </c>
      <c r="N175" s="2">
        <f t="shared" ref="N175:N185" si="146">10000/O175</f>
        <v>8.0064051240992793</v>
      </c>
      <c r="O175" s="33">
        <v>1249</v>
      </c>
      <c r="P175" s="13"/>
      <c r="Q175" s="6">
        <f t="shared" ref="Q175:Q185" si="147">L175/(1+L175/M175/K175)*D175</f>
        <v>447904915959.84515</v>
      </c>
      <c r="R175" s="6"/>
      <c r="S175" s="6"/>
      <c r="W175" s="33"/>
      <c r="Y175" s="6"/>
    </row>
    <row r="176" spans="4:25" ht="15.75">
      <c r="D176" s="2">
        <f t="shared" si="139"/>
        <v>0.82977799064846869</v>
      </c>
      <c r="E176" s="2">
        <f t="shared" si="140"/>
        <v>-8.1038088748653855E-2</v>
      </c>
      <c r="F176" s="2">
        <f t="shared" si="141"/>
        <v>-2.484301012453618</v>
      </c>
      <c r="G176" s="6">
        <f t="shared" si="142"/>
        <v>5.1286123027759591E-3</v>
      </c>
      <c r="H176" s="2">
        <f t="shared" ref="H176:H185" si="148">-0.4-0.67*LOG(J176)</f>
        <v>-0.19430088228774126</v>
      </c>
      <c r="I176" s="2">
        <f t="shared" si="143"/>
        <v>1.1399072828277144</v>
      </c>
      <c r="J176" s="4">
        <f t="shared" si="144"/>
        <v>0.49315835070018355</v>
      </c>
      <c r="K176" s="6">
        <v>3.1844168794183152E-4</v>
      </c>
      <c r="L176" s="9">
        <f t="shared" si="145"/>
        <v>106796862567187.33</v>
      </c>
      <c r="M176" s="6">
        <v>1720000000000000</v>
      </c>
      <c r="N176" s="2">
        <f t="shared" si="146"/>
        <v>8.064516129032258</v>
      </c>
      <c r="O176" s="33">
        <v>1240</v>
      </c>
      <c r="P176" s="13"/>
      <c r="Q176" s="6">
        <f t="shared" si="147"/>
        <v>452166766766.67108</v>
      </c>
      <c r="R176" s="6"/>
      <c r="S176" s="6"/>
      <c r="W176" s="33"/>
      <c r="Y176" s="6"/>
    </row>
    <row r="177" spans="4:27" ht="15.75">
      <c r="D177" s="2">
        <f t="shared" si="139"/>
        <v>0.83211020113596101</v>
      </c>
      <c r="E177" s="2">
        <f t="shared" si="140"/>
        <v>-7.9819153786275007E-2</v>
      </c>
      <c r="F177" s="2">
        <f t="shared" si="141"/>
        <v>-2.5185973134456305</v>
      </c>
      <c r="G177" s="6">
        <f t="shared" si="142"/>
        <v>4.7386548012867593E-3</v>
      </c>
      <c r="H177" s="2">
        <f t="shared" si="148"/>
        <v>-0.19425238607059542</v>
      </c>
      <c r="I177" s="2">
        <f t="shared" si="143"/>
        <v>1.1399992084930506</v>
      </c>
      <c r="J177" s="4">
        <f t="shared" si="144"/>
        <v>0.49307616449077452</v>
      </c>
      <c r="K177" s="6">
        <v>3.0104024604013583E-4</v>
      </c>
      <c r="L177" s="9">
        <f t="shared" si="145"/>
        <v>107363384154861.56</v>
      </c>
      <c r="M177" s="6">
        <v>1690000000000000</v>
      </c>
      <c r="N177" s="2">
        <f t="shared" si="146"/>
        <v>7.9681274900398407</v>
      </c>
      <c r="O177" s="33">
        <v>1255</v>
      </c>
      <c r="P177" s="13"/>
      <c r="Q177" s="6">
        <f t="shared" si="147"/>
        <v>421346121043.89728</v>
      </c>
      <c r="R177" s="6"/>
      <c r="S177" s="6"/>
      <c r="W177" s="33"/>
      <c r="X177" s="34"/>
      <c r="Y177" s="6"/>
      <c r="Z177" s="27"/>
      <c r="AA177" s="27"/>
    </row>
    <row r="178" spans="4:27" ht="15.75">
      <c r="D178" s="2">
        <f t="shared" si="139"/>
        <v>0.8327403206321915</v>
      </c>
      <c r="E178" s="2">
        <f t="shared" si="140"/>
        <v>-7.9490406634934244E-2</v>
      </c>
      <c r="F178" s="2">
        <f t="shared" si="141"/>
        <v>-2.5281471843794012</v>
      </c>
      <c r="G178" s="6">
        <f t="shared" si="142"/>
        <v>4.6353504083572732E-3</v>
      </c>
      <c r="H178" s="2">
        <f t="shared" si="148"/>
        <v>-0.194229754502594</v>
      </c>
      <c r="I178" s="2">
        <f t="shared" si="143"/>
        <v>1.140042107136874</v>
      </c>
      <c r="J178" s="4">
        <f t="shared" si="144"/>
        <v>0.49303781561378979</v>
      </c>
      <c r="K178" s="6">
        <v>3.0419900635401232E-4</v>
      </c>
      <c r="L178" s="9">
        <f t="shared" si="145"/>
        <v>107626463259631.12</v>
      </c>
      <c r="M178" s="6">
        <v>1640000000000000</v>
      </c>
      <c r="N178" s="2">
        <f t="shared" si="146"/>
        <v>7.9239302694136295</v>
      </c>
      <c r="O178" s="33">
        <v>1262</v>
      </c>
      <c r="P178" s="13"/>
      <c r="Q178" s="6">
        <f t="shared" si="147"/>
        <v>413525958343.19177</v>
      </c>
      <c r="R178" s="6"/>
      <c r="S178" s="6"/>
      <c r="W178" s="33"/>
      <c r="X178" s="34"/>
      <c r="Y178" s="6"/>
      <c r="Z178" s="27"/>
      <c r="AA178" s="27"/>
    </row>
    <row r="179" spans="4:27" ht="15.75">
      <c r="D179" s="2">
        <f t="shared" si="139"/>
        <v>0.84558841684012021</v>
      </c>
      <c r="E179" s="2">
        <f t="shared" si="140"/>
        <v>-7.284097477451075E-2</v>
      </c>
      <c r="F179" s="2">
        <f t="shared" si="141"/>
        <v>-2.7259254628805523</v>
      </c>
      <c r="G179" s="6">
        <f t="shared" si="142"/>
        <v>2.9414161455555122E-3</v>
      </c>
      <c r="H179" s="2">
        <f t="shared" si="148"/>
        <v>-0.1944819348317525</v>
      </c>
      <c r="I179" s="2">
        <f t="shared" si="143"/>
        <v>1.1395640936771259</v>
      </c>
      <c r="J179" s="4">
        <f t="shared" si="144"/>
        <v>0.49346530027058233</v>
      </c>
      <c r="K179" s="6">
        <v>1.7292754325169528E-4</v>
      </c>
      <c r="L179" s="9">
        <f t="shared" si="145"/>
        <v>104647221527331.61</v>
      </c>
      <c r="M179" s="6">
        <v>1780000000000000</v>
      </c>
      <c r="N179" s="2">
        <f t="shared" si="146"/>
        <v>8.4459459459459456</v>
      </c>
      <c r="O179" s="33">
        <v>1184</v>
      </c>
      <c r="P179" s="13"/>
      <c r="Q179" s="6">
        <f t="shared" si="147"/>
        <v>259518088301.73486</v>
      </c>
      <c r="R179" s="6"/>
      <c r="S179" s="6"/>
      <c r="W179" s="33"/>
      <c r="X179" s="34"/>
      <c r="Y179" s="6"/>
      <c r="Z179" s="27"/>
      <c r="AA179" s="27"/>
    </row>
    <row r="180" spans="4:27" ht="15.75">
      <c r="D180" s="2">
        <f t="shared" si="139"/>
        <v>0.84606085083257987</v>
      </c>
      <c r="E180" s="2">
        <f t="shared" si="140"/>
        <v>-7.2598400281979891E-2</v>
      </c>
      <c r="F180" s="2">
        <f t="shared" si="141"/>
        <v>-2.7345230247760761</v>
      </c>
      <c r="G180" s="6">
        <f t="shared" si="142"/>
        <v>2.8835010446268583E-3</v>
      </c>
      <c r="H180" s="2">
        <f t="shared" si="148"/>
        <v>-0.19444313785803577</v>
      </c>
      <c r="I180" s="2">
        <f t="shared" si="143"/>
        <v>1.1396376342093948</v>
      </c>
      <c r="J180" s="4">
        <f t="shared" si="144"/>
        <v>0.49339950928337617</v>
      </c>
      <c r="K180" s="6">
        <v>1.722114871719781E-4</v>
      </c>
      <c r="L180" s="9">
        <f t="shared" si="145"/>
        <v>105112574170023.7</v>
      </c>
      <c r="M180" s="6">
        <v>1760000000000000</v>
      </c>
      <c r="N180" s="2">
        <f t="shared" si="146"/>
        <v>8.3612040133779271</v>
      </c>
      <c r="O180" s="33">
        <v>1196</v>
      </c>
      <c r="P180" s="13"/>
      <c r="Q180" s="6">
        <f t="shared" si="147"/>
        <v>255697156335.96429</v>
      </c>
      <c r="R180" s="6"/>
      <c r="W180" s="33"/>
      <c r="X180" s="34"/>
      <c r="Y180" s="6"/>
      <c r="Z180" s="27"/>
      <c r="AA180" s="27"/>
    </row>
    <row r="181" spans="4:27" ht="15.75">
      <c r="D181" s="2">
        <f t="shared" si="139"/>
        <v>0.84797926722473227</v>
      </c>
      <c r="E181" s="2">
        <f t="shared" si="140"/>
        <v>-7.1614765950793496E-2</v>
      </c>
      <c r="F181" s="2">
        <f t="shared" si="141"/>
        <v>-2.7681867491080228</v>
      </c>
      <c r="G181" s="6">
        <f t="shared" si="142"/>
        <v>2.668115706638126E-3</v>
      </c>
      <c r="H181" s="2">
        <f t="shared" si="148"/>
        <v>-0.1943914085597469</v>
      </c>
      <c r="I181" s="2">
        <f t="shared" si="143"/>
        <v>1.1397356882524201</v>
      </c>
      <c r="J181" s="4">
        <f t="shared" si="144"/>
        <v>0.49331180161152766</v>
      </c>
      <c r="K181" s="6">
        <v>1.699380681994107E-4</v>
      </c>
      <c r="L181" s="9">
        <f t="shared" si="145"/>
        <v>105728995376467.14</v>
      </c>
      <c r="M181" s="6">
        <v>1660000000000000</v>
      </c>
      <c r="N181" s="2">
        <f t="shared" si="146"/>
        <v>8.2508250825082516</v>
      </c>
      <c r="O181" s="33">
        <v>1212</v>
      </c>
      <c r="P181" s="13"/>
      <c r="Q181" s="6">
        <f t="shared" si="147"/>
        <v>238576022751.7049</v>
      </c>
      <c r="R181" s="6"/>
      <c r="W181" s="33"/>
      <c r="X181" s="34"/>
      <c r="Y181" s="6"/>
      <c r="Z181" s="27"/>
      <c r="AA181" s="27"/>
    </row>
    <row r="182" spans="4:27" ht="15.75">
      <c r="D182" s="2">
        <f t="shared" si="139"/>
        <v>0.84620266577038661</v>
      </c>
      <c r="E182" s="2">
        <f t="shared" si="140"/>
        <v>-7.2525610855887795E-2</v>
      </c>
      <c r="F182" s="2">
        <f t="shared" si="141"/>
        <v>-2.7369242275430259</v>
      </c>
      <c r="G182" s="6">
        <f t="shared" si="142"/>
        <v>2.8676022357471244E-3</v>
      </c>
      <c r="H182" s="2">
        <f t="shared" si="148"/>
        <v>-0.19444313785803577</v>
      </c>
      <c r="I182" s="2">
        <f t="shared" si="143"/>
        <v>1.1396376342093948</v>
      </c>
      <c r="J182" s="4">
        <f t="shared" si="144"/>
        <v>0.49339950928337617</v>
      </c>
      <c r="K182" s="6">
        <v>1.7730650158535023E-4</v>
      </c>
      <c r="L182" s="9">
        <f t="shared" si="145"/>
        <v>105112574170023.7</v>
      </c>
      <c r="M182" s="6">
        <v>1700000000000000</v>
      </c>
      <c r="N182" s="2">
        <f t="shared" si="146"/>
        <v>8.3612040133779271</v>
      </c>
      <c r="O182" s="33">
        <v>1196</v>
      </c>
      <c r="P182" s="13"/>
      <c r="Q182" s="6">
        <f t="shared" si="147"/>
        <v>254333969649.91135</v>
      </c>
      <c r="W182" s="33"/>
      <c r="X182" s="34"/>
      <c r="Y182" s="6"/>
      <c r="Z182" s="27"/>
      <c r="AA182" s="27"/>
    </row>
    <row r="183" spans="4:27" ht="15.75">
      <c r="D183" s="2">
        <f t="shared" si="139"/>
        <v>0.8485947294255809</v>
      </c>
      <c r="E183" s="2">
        <f t="shared" si="140"/>
        <v>-7.1299669939771826E-2</v>
      </c>
      <c r="F183" s="2">
        <f t="shared" si="141"/>
        <v>-2.779510987938421</v>
      </c>
      <c r="G183" s="6">
        <f t="shared" si="142"/>
        <v>2.5992115227773485E-3</v>
      </c>
      <c r="H183" s="2">
        <f t="shared" si="148"/>
        <v>-0.19435261158603018</v>
      </c>
      <c r="I183" s="2">
        <f t="shared" si="143"/>
        <v>1.139809228784689</v>
      </c>
      <c r="J183" s="4">
        <f t="shared" si="144"/>
        <v>0.49324603108944498</v>
      </c>
      <c r="K183" s="6">
        <v>1.6727631634804512E-4</v>
      </c>
      <c r="L183" s="9">
        <f t="shared" si="145"/>
        <v>106188326558106.55</v>
      </c>
      <c r="M183" s="6">
        <v>1650000000000000</v>
      </c>
      <c r="N183" s="2">
        <f t="shared" si="146"/>
        <v>8.1699346405228752</v>
      </c>
      <c r="O183" s="33">
        <v>1224</v>
      </c>
      <c r="P183" s="13"/>
      <c r="Q183" s="6">
        <f t="shared" si="147"/>
        <v>233609968954.47528</v>
      </c>
      <c r="W183" s="33"/>
      <c r="X183" s="34"/>
      <c r="Y183" s="6"/>
      <c r="Z183" s="27"/>
      <c r="AA183" s="27"/>
    </row>
    <row r="184" spans="4:27" ht="15.75">
      <c r="D184" s="2">
        <f t="shared" si="139"/>
        <v>0.84758541554461564</v>
      </c>
      <c r="E184" s="2">
        <f t="shared" si="140"/>
        <v>-7.1816524829328265E-2</v>
      </c>
      <c r="F184" s="2">
        <f t="shared" si="141"/>
        <v>-2.7614936304086468</v>
      </c>
      <c r="G184" s="6">
        <f t="shared" si="142"/>
        <v>2.7095134549986887E-3</v>
      </c>
      <c r="H184" s="2">
        <f t="shared" si="148"/>
        <v>-0.19438494239746076</v>
      </c>
      <c r="I184" s="2">
        <f t="shared" si="143"/>
        <v>1.1397479450077983</v>
      </c>
      <c r="J184" s="4">
        <f t="shared" si="144"/>
        <v>0.49330083924885187</v>
      </c>
      <c r="K184" s="6">
        <v>1.7166589254781145E-4</v>
      </c>
      <c r="L184" s="9">
        <f t="shared" si="145"/>
        <v>105805726864339.87</v>
      </c>
      <c r="M184" s="6">
        <v>1670000000000000</v>
      </c>
      <c r="N184" s="2">
        <f t="shared" si="146"/>
        <v>8.2372322899505761</v>
      </c>
      <c r="O184" s="33">
        <v>1214</v>
      </c>
      <c r="P184" s="13"/>
      <c r="Q184" s="6">
        <f t="shared" si="147"/>
        <v>242330917591.08151</v>
      </c>
      <c r="W184" s="33"/>
      <c r="X184" s="34"/>
      <c r="Y184" s="6"/>
      <c r="Z184" s="27"/>
      <c r="AA184" s="27"/>
    </row>
    <row r="185" spans="4:27" ht="15.75">
      <c r="D185" s="2">
        <f t="shared" si="139"/>
        <v>0.83379650111353887</v>
      </c>
      <c r="E185" s="2">
        <f t="shared" si="140"/>
        <v>-7.8939931649480502E-2</v>
      </c>
      <c r="F185" s="2">
        <f t="shared" si="141"/>
        <v>-2.5421517557584692</v>
      </c>
      <c r="G185" s="6">
        <f t="shared" si="142"/>
        <v>4.489329243413883E-3</v>
      </c>
      <c r="H185" s="2">
        <f t="shared" si="148"/>
        <v>-0.19433321309917184</v>
      </c>
      <c r="I185" s="2">
        <f t="shared" si="143"/>
        <v>1.1398459990508236</v>
      </c>
      <c r="J185" s="4">
        <f t="shared" si="144"/>
        <v>0.49321314911678366</v>
      </c>
      <c r="K185" s="6">
        <v>2.8436973779167663E-4</v>
      </c>
      <c r="L185" s="9">
        <f t="shared" si="145"/>
        <v>106417046642522.8</v>
      </c>
      <c r="M185" s="6">
        <v>1680000000000000</v>
      </c>
      <c r="N185" s="2">
        <f t="shared" si="146"/>
        <v>8.1300813008130088</v>
      </c>
      <c r="O185" s="33">
        <v>1230</v>
      </c>
      <c r="P185" s="13"/>
      <c r="Q185" s="6">
        <f t="shared" si="147"/>
        <v>396558624988.81079</v>
      </c>
      <c r="W185" s="33"/>
      <c r="X185" s="34"/>
      <c r="Y185" s="6"/>
      <c r="Z185" s="27"/>
      <c r="AA185" s="27"/>
    </row>
    <row r="186" spans="4:27" ht="15.75">
      <c r="D186" s="2">
        <f t="shared" si="139"/>
        <v>0.67059224713300902</v>
      </c>
      <c r="E186" s="2">
        <f>LOG(J186)/(1+(F186/(I186-0.14*F186))^2)</f>
        <v>-0.17354147185383831</v>
      </c>
      <c r="F186" s="2">
        <f>LOG(G186)+H186</f>
        <v>-1.1473006220182103</v>
      </c>
      <c r="G186" s="6">
        <f>M186*K186/L186</f>
        <v>0.11121405070509767</v>
      </c>
      <c r="H186" s="2">
        <f>-0.4-0.67*LOG(J186)</f>
        <v>-0.19346028119054631</v>
      </c>
      <c r="I186" s="2">
        <f>0.75-1.27*LOG(J186)</f>
        <v>1.141500661026875</v>
      </c>
      <c r="J186" s="4">
        <f t="shared" si="144"/>
        <v>0.49173572691080875</v>
      </c>
      <c r="K186" s="6">
        <f t="shared" ref="K186:K187" si="149">$P$174*101325/760/8.314/O186/1000000</f>
        <v>7.3123646860716865E-3</v>
      </c>
      <c r="L186" s="9">
        <f t="shared" si="145"/>
        <v>116126973303923.45</v>
      </c>
      <c r="M186" s="6">
        <f>$B$7*O186^$B$8*EXP(-$B$9/1.987/O186)</f>
        <v>1766179840818384.2</v>
      </c>
      <c r="N186" s="2">
        <f>10000/O186</f>
        <v>6.666666666666667</v>
      </c>
      <c r="O186" s="12">
        <v>1500</v>
      </c>
      <c r="P186" s="13"/>
      <c r="Q186" s="6">
        <f>L186/(1+L186/M186/K186)*D186</f>
        <v>7793877401409.5117</v>
      </c>
      <c r="W186" s="33"/>
      <c r="X186" s="34"/>
      <c r="Y186" s="6"/>
      <c r="Z186" s="27"/>
      <c r="AA186" s="27"/>
    </row>
    <row r="187" spans="4:27" ht="15.75">
      <c r="D187" s="2">
        <f t="shared" si="139"/>
        <v>0.70869441142338974</v>
      </c>
      <c r="E187" s="2">
        <f>LOG(J187)/(1+(F187/(I187-0.14*F187))^2)</f>
        <v>-0.14954099195635165</v>
      </c>
      <c r="F187" s="2">
        <f>LOG(G187)+H187</f>
        <v>-1.3837936391225321</v>
      </c>
      <c r="G187" s="6">
        <f>M187*K187/L187</f>
        <v>6.4371957773579513E-2</v>
      </c>
      <c r="H187" s="2">
        <f>-0.4-0.67*LOG(J187)</f>
        <v>-0.19249035684762902</v>
      </c>
      <c r="I187" s="2">
        <f>0.75-1.27*LOG(J187)</f>
        <v>1.1433391743335988</v>
      </c>
      <c r="J187" s="4">
        <f t="shared" si="144"/>
        <v>0.49009933665337763</v>
      </c>
      <c r="K187" s="6">
        <f t="shared" si="149"/>
        <v>6.0936372383930716E-3</v>
      </c>
      <c r="L187" s="9">
        <f t="shared" si="145"/>
        <v>125826714030766.56</v>
      </c>
      <c r="M187" s="6">
        <f>$B$7*O187^$B$8*EXP(-$B$9/1.987/O187)</f>
        <v>1329208091243828.7</v>
      </c>
      <c r="N187" s="2">
        <f>10000/O187</f>
        <v>5.5555555555555554</v>
      </c>
      <c r="O187" s="12">
        <v>1800</v>
      </c>
      <c r="P187" s="13"/>
      <c r="Q187" s="6">
        <f>L187/(1+L187/M187/K187)*D187</f>
        <v>5393058818963.0947</v>
      </c>
      <c r="W187" s="33"/>
      <c r="X187" s="34"/>
      <c r="Y187" s="6"/>
      <c r="Z187" s="27"/>
      <c r="AA18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0"/>
  <sheetViews>
    <sheetView workbookViewId="0">
      <selection activeCell="D279" sqref="D279:S291"/>
    </sheetView>
  </sheetViews>
  <sheetFormatPr defaultColWidth="11.5703125" defaultRowHeight="12.75"/>
  <cols>
    <col min="1" max="1" width="12.5703125" bestFit="1" customWidth="1"/>
    <col min="2" max="2" width="14.28515625" customWidth="1"/>
    <col min="3" max="3" width="14.140625" bestFit="1" customWidth="1"/>
    <col min="4" max="4" width="12.5703125" bestFit="1" customWidth="1"/>
    <col min="5" max="6" width="12.42578125" bestFit="1" customWidth="1"/>
    <col min="7" max="7" width="9.7109375" customWidth="1"/>
    <col min="8" max="9" width="12.5703125" bestFit="1" customWidth="1"/>
    <col min="10" max="10" width="12.28515625" bestFit="1" customWidth="1"/>
    <col min="11" max="11" width="9.140625" bestFit="1" customWidth="1"/>
    <col min="12" max="12" width="14.7109375" bestFit="1" customWidth="1"/>
    <col min="13" max="14" width="12.42578125" bestFit="1" customWidth="1"/>
    <col min="15" max="15" width="13.85546875" bestFit="1" customWidth="1"/>
    <col min="16" max="16" width="10.140625" bestFit="1" customWidth="1"/>
    <col min="17" max="17" width="9" bestFit="1" customWidth="1"/>
    <col min="18" max="18" width="12.42578125" bestFit="1" customWidth="1"/>
    <col min="21" max="22" width="15.7109375" bestFit="1" customWidth="1"/>
    <col min="23" max="23" width="13.42578125" customWidth="1"/>
    <col min="24" max="24" width="10" customWidth="1"/>
    <col min="25" max="26" width="12.42578125" bestFit="1" customWidth="1"/>
    <col min="27" max="27" width="10" customWidth="1"/>
    <col min="29" max="29" width="12.42578125" bestFit="1" customWidth="1"/>
  </cols>
  <sheetData>
    <row r="1" spans="1:37">
      <c r="A1" t="s">
        <v>0</v>
      </c>
    </row>
    <row r="2" spans="1:37">
      <c r="C2" s="22"/>
      <c r="E2" s="6"/>
    </row>
    <row r="3" spans="1:37">
      <c r="S3" s="6">
        <f>SUM(S7:S291)</f>
        <v>4.2047477460721936</v>
      </c>
      <c r="T3" s="6"/>
    </row>
    <row r="4" spans="1:37">
      <c r="A4" t="s">
        <v>1</v>
      </c>
      <c r="B4" s="22">
        <v>1025148010484.856</v>
      </c>
      <c r="D4" s="1"/>
      <c r="E4" s="1"/>
      <c r="F4" s="1"/>
      <c r="Z4" s="6"/>
      <c r="AA4" s="6"/>
      <c r="AI4" s="6"/>
    </row>
    <row r="5" spans="1:37">
      <c r="A5" t="s">
        <v>2</v>
      </c>
      <c r="B5">
        <v>0.60443536309435009</v>
      </c>
      <c r="M5" t="s">
        <v>52</v>
      </c>
      <c r="Q5" t="s">
        <v>20</v>
      </c>
      <c r="R5" t="s">
        <v>66</v>
      </c>
      <c r="S5" s="14"/>
      <c r="T5" s="14"/>
      <c r="U5" s="14"/>
      <c r="V5" s="14"/>
      <c r="Z5" s="10"/>
    </row>
    <row r="6" spans="1:37" ht="15.75">
      <c r="A6" t="s">
        <v>3</v>
      </c>
      <c r="B6">
        <v>-241.07912523649858</v>
      </c>
      <c r="C6" s="24"/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>
        <f>760*2.4</f>
        <v>1824</v>
      </c>
      <c r="Q6" t="s">
        <v>16</v>
      </c>
      <c r="S6" s="15"/>
      <c r="T6" s="15"/>
      <c r="U6" s="18"/>
      <c r="V6" s="17"/>
      <c r="Z6" s="10"/>
      <c r="AD6" s="6"/>
      <c r="AK6" s="6"/>
    </row>
    <row r="7" spans="1:37" ht="15.75">
      <c r="A7" t="s">
        <v>1</v>
      </c>
      <c r="B7" s="6">
        <v>1.717282798804138E+19</v>
      </c>
      <c r="C7" s="20"/>
      <c r="D7" s="3">
        <f>10^E7</f>
        <v>0.75239227562350597</v>
      </c>
      <c r="E7" s="3">
        <f t="shared" ref="E7" si="0">LOG(J7)/(1+(F7/(I7-0.14*F7))^2)</f>
        <v>-0.12355567174912759</v>
      </c>
      <c r="F7" s="3">
        <f t="shared" ref="F7" si="1">LOG(G7)+H7</f>
        <v>-1.941635910071116</v>
      </c>
      <c r="G7" s="4">
        <f t="shared" ref="G7" si="2">M7*K7/L7</f>
        <v>1.6928918902537726E-2</v>
      </c>
      <c r="H7" s="3">
        <f t="shared" ref="H7" si="3">-0.4-0.67*LOG(J7)</f>
        <v>-0.17026513459152323</v>
      </c>
      <c r="I7" s="3">
        <f t="shared" ref="I7" si="4">0.75-1.27*LOG(J7)</f>
        <v>1.18546758069965</v>
      </c>
      <c r="J7" s="4">
        <f t="shared" ref="J7" si="5">(1-$B$10)*EXP(-O7/$B$11)+$B$10*EXP(-O7/$B$12)+EXP(-B$13/O7)</f>
        <v>0.45405884614340031</v>
      </c>
      <c r="K7" s="4">
        <f t="shared" ref="K7" si="6">$P$6*101325/760/8.314/O7/1000000</f>
        <v>9.7498195814289148E-5</v>
      </c>
      <c r="L7" s="9">
        <f t="shared" ref="L7" si="7">B$4*O7^B$5*EXP(-B$6/1.987/O7)</f>
        <v>48271057302442.148</v>
      </c>
      <c r="M7" s="4">
        <f t="shared" ref="M7" si="8">$B$7*O7^$B$8*EXP(-$B$9/1.987/O7)</f>
        <v>8381455755030811</v>
      </c>
      <c r="N7" s="3">
        <f t="shared" ref="N7" si="9">10000/O7</f>
        <v>33.333333333333336</v>
      </c>
      <c r="O7" s="12">
        <v>300</v>
      </c>
      <c r="P7" s="40"/>
      <c r="Q7" s="20">
        <f t="shared" ref="Q7:Q17" si="10">L7/(1+L7/M7/K7)*D7</f>
        <v>604602260349.0697</v>
      </c>
      <c r="R7" s="20">
        <f>0.00000000000081*6.02E+23</f>
        <v>487620000000</v>
      </c>
      <c r="S7" s="20">
        <f>(R7-Q7)^2/Q7^2</f>
        <v>3.743695214235513E-2</v>
      </c>
      <c r="T7" s="20"/>
      <c r="U7" s="19"/>
      <c r="V7" s="17"/>
      <c r="W7" s="5"/>
      <c r="X7" s="9"/>
      <c r="Y7" s="4"/>
      <c r="Z7" s="6"/>
      <c r="AB7" s="6"/>
      <c r="AD7" s="6"/>
      <c r="AG7" s="6"/>
      <c r="AH7" s="6"/>
      <c r="AI7" s="6"/>
      <c r="AJ7" s="6"/>
      <c r="AK7" s="6"/>
    </row>
    <row r="8" spans="1:37" ht="15.75">
      <c r="A8" t="s">
        <v>2</v>
      </c>
      <c r="B8" s="11">
        <v>-1.2768637169085266</v>
      </c>
      <c r="D8" s="3">
        <f>10^E8</f>
        <v>0.78148793384017023</v>
      </c>
      <c r="E8" s="3">
        <f t="shared" ref="E8:E17" si="11">LOG(J8)/(1+(F8/(I8-0.14*F8))^2)</f>
        <v>-0.10707772309212177</v>
      </c>
      <c r="F8" s="3">
        <f t="shared" ref="F8:F17" si="12">LOG(G8)+H8</f>
        <v>-2.2205676109706793</v>
      </c>
      <c r="G8" s="4">
        <f t="shared" ref="G8:G17" si="13">M8*K8/L8</f>
        <v>8.9063041793220055E-3</v>
      </c>
      <c r="H8" s="3">
        <f t="shared" ref="H8:H17" si="14">-0.4-0.67*LOG(J8)</f>
        <v>-0.17026513459152323</v>
      </c>
      <c r="I8" s="3">
        <f t="shared" ref="I8:I17" si="15">0.75-1.27*LOG(J8)</f>
        <v>1.18546758069965</v>
      </c>
      <c r="J8" s="4">
        <f t="shared" ref="J8:J19" si="16">(1-$B$10)*EXP(-O8/$B$11)+$B$10*EXP(-O8/$B$12)+EXP(-B$13/O8)</f>
        <v>0.45405884614340031</v>
      </c>
      <c r="K8" s="4">
        <f t="shared" ref="K8:K19" si="17">$P$6*101325/760/8.314/O8/1000000</f>
        <v>7.3123646860716858E-5</v>
      </c>
      <c r="L8" s="9">
        <f t="shared" ref="L8:L19" si="18">B$4*O8^B$5*EXP(-B$6/1.987/O8)</f>
        <v>51915144096005.555</v>
      </c>
      <c r="M8" s="4">
        <f t="shared" ref="M8:M17" si="19">$B$7*O8^$B$8*EXP(-$B$9/1.987/O8)</f>
        <v>6323153790634473</v>
      </c>
      <c r="N8" s="3">
        <f t="shared" ref="N8:N17" si="20">10000/O8</f>
        <v>25</v>
      </c>
      <c r="O8" s="12">
        <v>400</v>
      </c>
      <c r="P8" s="13"/>
      <c r="Q8" s="4">
        <f t="shared" si="10"/>
        <v>358148410922.23877</v>
      </c>
      <c r="R8" s="4"/>
      <c r="U8" s="19"/>
      <c r="V8" s="17"/>
      <c r="W8" s="5"/>
      <c r="X8" s="9"/>
      <c r="Y8" s="4"/>
      <c r="Z8" s="6"/>
      <c r="AB8" s="6"/>
      <c r="AD8" s="6"/>
      <c r="AG8" s="6"/>
      <c r="AH8" s="6"/>
      <c r="AI8" s="6"/>
      <c r="AJ8" s="6"/>
      <c r="AK8" s="6"/>
    </row>
    <row r="9" spans="1:37" ht="15.75">
      <c r="A9" t="s">
        <v>3</v>
      </c>
      <c r="B9" s="10">
        <v>203.93125674264584</v>
      </c>
      <c r="C9" s="1"/>
      <c r="D9" s="3">
        <f t="shared" ref="D9:D17" si="21">10^E9</f>
        <v>0.80165179165718425</v>
      </c>
      <c r="E9" s="3">
        <f t="shared" si="11"/>
        <v>-9.6014232464454036E-2</v>
      </c>
      <c r="F9" s="3">
        <f t="shared" si="12"/>
        <v>-2.4511618427258663</v>
      </c>
      <c r="G9" s="4">
        <f t="shared" si="13"/>
        <v>5.2372498363919317E-3</v>
      </c>
      <c r="H9" s="3">
        <f t="shared" si="14"/>
        <v>-0.17026513459152323</v>
      </c>
      <c r="I9" s="3">
        <f t="shared" si="15"/>
        <v>1.18546758069965</v>
      </c>
      <c r="J9" s="4">
        <f t="shared" si="16"/>
        <v>0.45405884614340031</v>
      </c>
      <c r="K9" s="4">
        <f t="shared" si="17"/>
        <v>5.8498917488573493E-5</v>
      </c>
      <c r="L9" s="9">
        <f t="shared" si="18"/>
        <v>55914419404048.281</v>
      </c>
      <c r="M9" s="4">
        <f t="shared" si="19"/>
        <v>5005866714251614</v>
      </c>
      <c r="N9" s="3">
        <f t="shared" si="20"/>
        <v>20</v>
      </c>
      <c r="O9" s="12">
        <v>500</v>
      </c>
      <c r="P9" s="13"/>
      <c r="Q9" s="20">
        <f t="shared" si="10"/>
        <v>233530874574.29901</v>
      </c>
      <c r="R9" s="20"/>
      <c r="S9" s="6"/>
      <c r="T9" s="6"/>
      <c r="U9" s="19"/>
      <c r="V9" s="17"/>
      <c r="W9" s="5"/>
      <c r="X9" s="9"/>
      <c r="Y9" s="4"/>
      <c r="Z9" s="6"/>
      <c r="AB9" s="6"/>
      <c r="AD9" s="6"/>
      <c r="AG9" s="6"/>
      <c r="AH9" s="6"/>
      <c r="AI9" s="6"/>
      <c r="AJ9" s="6"/>
      <c r="AK9" s="6"/>
    </row>
    <row r="10" spans="1:37" ht="15.75">
      <c r="A10" t="s">
        <v>1</v>
      </c>
      <c r="B10" s="11">
        <v>0.45405884614340031</v>
      </c>
      <c r="D10" s="3">
        <f t="shared" si="21"/>
        <v>0.81645969677408825</v>
      </c>
      <c r="E10" s="3">
        <f t="shared" si="11"/>
        <v>-8.8065248650062114E-2</v>
      </c>
      <c r="F10" s="3">
        <f t="shared" si="12"/>
        <v>-2.6468850277377083</v>
      </c>
      <c r="G10" s="4">
        <f t="shared" si="13"/>
        <v>3.33718364764474E-3</v>
      </c>
      <c r="H10" s="3">
        <f t="shared" si="14"/>
        <v>-0.17026513459152323</v>
      </c>
      <c r="I10" s="3">
        <f t="shared" si="15"/>
        <v>1.18546758069965</v>
      </c>
      <c r="J10" s="4">
        <f t="shared" si="16"/>
        <v>0.45405884614340031</v>
      </c>
      <c r="K10" s="4">
        <f t="shared" si="17"/>
        <v>4.8749097907144574E-5</v>
      </c>
      <c r="L10" s="9">
        <f t="shared" si="18"/>
        <v>59954213423504.078</v>
      </c>
      <c r="M10" s="4">
        <f t="shared" si="19"/>
        <v>4104244575467262</v>
      </c>
      <c r="N10" s="3">
        <f t="shared" si="20"/>
        <v>16.666666666666668</v>
      </c>
      <c r="O10" s="12">
        <v>600</v>
      </c>
      <c r="P10" s="13"/>
      <c r="Q10" s="4">
        <f t="shared" si="10"/>
        <v>162812468251.67892</v>
      </c>
      <c r="R10" s="4"/>
      <c r="S10" s="6"/>
      <c r="T10" s="6"/>
      <c r="U10" s="19"/>
      <c r="V10" s="17"/>
      <c r="W10" s="5"/>
      <c r="X10" s="9"/>
      <c r="Y10" s="4"/>
      <c r="Z10" s="6"/>
      <c r="AB10" s="6"/>
      <c r="AD10" s="6"/>
      <c r="AG10" s="6"/>
      <c r="AH10" s="6"/>
      <c r="AI10" s="6"/>
      <c r="AJ10" s="6"/>
      <c r="AK10" s="6"/>
    </row>
    <row r="11" spans="1:37" ht="15.75">
      <c r="A11" t="s">
        <v>18</v>
      </c>
      <c r="B11" s="10">
        <v>0.05</v>
      </c>
      <c r="D11" s="3">
        <f t="shared" si="21"/>
        <v>0.82783683391560359</v>
      </c>
      <c r="E11" s="3">
        <f t="shared" si="11"/>
        <v>-8.2055253931384978E-2</v>
      </c>
      <c r="F11" s="3">
        <f t="shared" si="12"/>
        <v>-2.816620417981925</v>
      </c>
      <c r="G11" s="4">
        <f t="shared" si="13"/>
        <v>2.2575881489065425E-3</v>
      </c>
      <c r="H11" s="3">
        <f t="shared" si="14"/>
        <v>-0.17026513459152323</v>
      </c>
      <c r="I11" s="3">
        <f t="shared" si="15"/>
        <v>1.18546758069965</v>
      </c>
      <c r="J11" s="4">
        <f t="shared" si="16"/>
        <v>0.45405884614340031</v>
      </c>
      <c r="K11" s="4">
        <f t="shared" si="17"/>
        <v>4.1784941063266781E-5</v>
      </c>
      <c r="L11" s="9">
        <f t="shared" si="18"/>
        <v>63935043186733.742</v>
      </c>
      <c r="M11" s="4">
        <f t="shared" si="19"/>
        <v>3454330486661539.5</v>
      </c>
      <c r="N11" s="3">
        <f t="shared" si="20"/>
        <v>14.285714285714286</v>
      </c>
      <c r="O11" s="12">
        <v>700</v>
      </c>
      <c r="P11" s="13"/>
      <c r="Q11" s="4">
        <f t="shared" si="10"/>
        <v>119219987660.88194</v>
      </c>
      <c r="R11" s="4"/>
      <c r="S11" s="16"/>
      <c r="T11" s="16"/>
      <c r="U11" s="19"/>
      <c r="V11" s="17"/>
      <c r="W11" s="5"/>
      <c r="X11" s="9"/>
      <c r="Y11" s="4"/>
      <c r="Z11" s="6"/>
      <c r="AB11" s="6"/>
      <c r="AD11" s="6"/>
      <c r="AG11" s="6"/>
      <c r="AH11" s="6"/>
      <c r="AI11" s="6"/>
      <c r="AJ11" s="6"/>
      <c r="AK11" s="6"/>
    </row>
    <row r="12" spans="1:37" ht="15.75">
      <c r="A12" t="s">
        <v>8</v>
      </c>
      <c r="B12" s="6">
        <v>1E+30</v>
      </c>
      <c r="D12" s="3">
        <f t="shared" si="21"/>
        <v>0.83688826223873558</v>
      </c>
      <c r="E12" s="3">
        <f t="shared" si="11"/>
        <v>-7.7332523288172222E-2</v>
      </c>
      <c r="F12" s="3">
        <f t="shared" si="12"/>
        <v>-2.9663438116105976</v>
      </c>
      <c r="G12" s="4">
        <f t="shared" si="13"/>
        <v>1.5992682780788618E-3</v>
      </c>
      <c r="H12" s="3">
        <f t="shared" si="14"/>
        <v>-0.17026513459152323</v>
      </c>
      <c r="I12" s="3">
        <f t="shared" si="15"/>
        <v>1.18546758069965</v>
      </c>
      <c r="J12" s="4">
        <f t="shared" si="16"/>
        <v>0.45405884614340031</v>
      </c>
      <c r="K12" s="4">
        <f t="shared" si="17"/>
        <v>3.6561823430358429E-5</v>
      </c>
      <c r="L12" s="9">
        <f t="shared" si="18"/>
        <v>67823786331033.422</v>
      </c>
      <c r="M12" s="4">
        <f t="shared" si="19"/>
        <v>2966712811384449</v>
      </c>
      <c r="N12" s="3">
        <f t="shared" si="20"/>
        <v>12.5</v>
      </c>
      <c r="O12" s="12">
        <v>800</v>
      </c>
      <c r="P12" s="13"/>
      <c r="Q12" s="4">
        <f t="shared" si="10"/>
        <v>90631012568.992523</v>
      </c>
      <c r="R12" s="4"/>
      <c r="S12" s="17"/>
      <c r="T12" s="17"/>
      <c r="U12" s="19"/>
      <c r="V12" s="17"/>
      <c r="W12" s="5"/>
      <c r="X12" s="9"/>
      <c r="Y12" s="4"/>
      <c r="Z12" s="6"/>
      <c r="AB12" s="6"/>
      <c r="AD12" s="6"/>
      <c r="AG12" s="6"/>
      <c r="AH12" s="6"/>
      <c r="AI12" s="6"/>
      <c r="AJ12" s="6"/>
      <c r="AK12" s="6"/>
    </row>
    <row r="13" spans="1:37" ht="15.75">
      <c r="A13" t="s">
        <v>19</v>
      </c>
      <c r="B13" s="6">
        <v>1E+30</v>
      </c>
      <c r="D13" s="3">
        <f t="shared" si="21"/>
        <v>0.84428902955132479</v>
      </c>
      <c r="E13" s="3">
        <f t="shared" si="11"/>
        <v>-7.3508853787631376E-2</v>
      </c>
      <c r="F13" s="3">
        <f t="shared" si="12"/>
        <v>-3.1002204998202885</v>
      </c>
      <c r="G13" s="4">
        <f t="shared" si="13"/>
        <v>1.1750183116626808E-3</v>
      </c>
      <c r="H13" s="3">
        <f t="shared" si="14"/>
        <v>-0.17026513459152323</v>
      </c>
      <c r="I13" s="3">
        <f t="shared" si="15"/>
        <v>1.18546758069965</v>
      </c>
      <c r="J13" s="4">
        <f t="shared" si="16"/>
        <v>0.45405884614340031</v>
      </c>
      <c r="K13" s="4">
        <f t="shared" si="17"/>
        <v>3.2499398604763049E-5</v>
      </c>
      <c r="L13" s="9">
        <f t="shared" si="18"/>
        <v>71611384152110.969</v>
      </c>
      <c r="M13" s="4">
        <f t="shared" si="19"/>
        <v>2589115224117070.5</v>
      </c>
      <c r="N13" s="3">
        <f t="shared" si="20"/>
        <v>11.111111111111111</v>
      </c>
      <c r="O13" s="12">
        <v>900</v>
      </c>
      <c r="P13" s="13"/>
      <c r="Q13" s="4">
        <f t="shared" si="10"/>
        <v>70959058528.874664</v>
      </c>
      <c r="R13" s="4"/>
      <c r="S13" s="6"/>
      <c r="T13" s="6"/>
      <c r="U13" s="19"/>
      <c r="V13" s="17"/>
      <c r="W13" s="5"/>
      <c r="X13" s="9"/>
      <c r="Y13" s="4"/>
      <c r="Z13" s="6"/>
      <c r="AB13" s="6"/>
      <c r="AD13" s="6"/>
      <c r="AG13" s="6"/>
      <c r="AH13" s="6"/>
      <c r="AI13" s="6"/>
      <c r="AJ13" s="6"/>
      <c r="AK13" s="6"/>
    </row>
    <row r="14" spans="1:37" ht="15.75">
      <c r="D14" s="3">
        <f t="shared" si="21"/>
        <v>0.85047391432606145</v>
      </c>
      <c r="E14" s="3">
        <f t="shared" si="11"/>
        <v>-7.0339002495839631E-2</v>
      </c>
      <c r="F14" s="3">
        <f t="shared" si="12"/>
        <v>-3.2212542931497814</v>
      </c>
      <c r="G14" s="4">
        <f t="shared" si="13"/>
        <v>8.8922331556674924E-4</v>
      </c>
      <c r="H14" s="3">
        <f t="shared" si="14"/>
        <v>-0.17026513459152323</v>
      </c>
      <c r="I14" s="3">
        <f t="shared" si="15"/>
        <v>1.18546758069965</v>
      </c>
      <c r="J14" s="4">
        <f t="shared" si="16"/>
        <v>0.45405884614340031</v>
      </c>
      <c r="K14" s="4">
        <f t="shared" si="17"/>
        <v>2.9249458744286746E-5</v>
      </c>
      <c r="L14" s="9">
        <f t="shared" si="18"/>
        <v>75298240556451.203</v>
      </c>
      <c r="M14" s="4">
        <f t="shared" si="19"/>
        <v>2289168894006587.5</v>
      </c>
      <c r="N14" s="3">
        <f t="shared" si="20"/>
        <v>10</v>
      </c>
      <c r="O14" s="12">
        <v>1000</v>
      </c>
      <c r="P14" s="13"/>
      <c r="Q14" s="4">
        <f t="shared" si="10"/>
        <v>56894548354.798973</v>
      </c>
      <c r="R14" s="4"/>
      <c r="S14" s="6"/>
      <c r="T14" s="6"/>
      <c r="U14" s="19"/>
      <c r="V14" s="17"/>
      <c r="W14" s="5"/>
      <c r="X14" s="9"/>
      <c r="Y14" s="4"/>
      <c r="Z14" s="6"/>
      <c r="AB14" s="6"/>
      <c r="AD14" s="6"/>
      <c r="AG14" s="6"/>
      <c r="AH14" s="6"/>
      <c r="AI14" s="6"/>
      <c r="AJ14" s="6"/>
      <c r="AK14" s="6"/>
    </row>
    <row r="15" spans="1:37" ht="15.75">
      <c r="D15" s="3">
        <f t="shared" si="21"/>
        <v>0.8557355471267506</v>
      </c>
      <c r="E15" s="3">
        <f t="shared" si="11"/>
        <v>-6.766042710811665E-2</v>
      </c>
      <c r="F15" s="3">
        <f t="shared" si="12"/>
        <v>-3.3316767261662981</v>
      </c>
      <c r="G15" s="4">
        <f t="shared" si="13"/>
        <v>6.895859564639169E-4</v>
      </c>
      <c r="H15" s="3">
        <f t="shared" si="14"/>
        <v>-0.17026513459152323</v>
      </c>
      <c r="I15" s="3">
        <f t="shared" si="15"/>
        <v>1.18546758069965</v>
      </c>
      <c r="J15" s="4">
        <f t="shared" si="16"/>
        <v>0.45405884614340031</v>
      </c>
      <c r="K15" s="4">
        <f t="shared" si="17"/>
        <v>2.6590417040260677E-5</v>
      </c>
      <c r="L15" s="9">
        <f t="shared" si="18"/>
        <v>78888524675193.109</v>
      </c>
      <c r="M15" s="4">
        <f t="shared" si="19"/>
        <v>2045865571036453.2</v>
      </c>
      <c r="N15" s="3">
        <f t="shared" si="20"/>
        <v>9.0909090909090917</v>
      </c>
      <c r="O15" s="12">
        <v>1100</v>
      </c>
      <c r="P15" s="13"/>
      <c r="Q15" s="4">
        <f t="shared" si="10"/>
        <v>46520292355.956215</v>
      </c>
      <c r="R15" s="4"/>
      <c r="S15" s="6"/>
      <c r="T15" s="6"/>
      <c r="U15" s="19"/>
      <c r="V15" s="17"/>
      <c r="W15" s="5"/>
      <c r="X15" s="9"/>
      <c r="Y15" s="4"/>
      <c r="Z15" s="6"/>
      <c r="AB15" s="6"/>
      <c r="AD15" s="6"/>
      <c r="AG15" s="6"/>
      <c r="AH15" s="6"/>
      <c r="AI15" s="6"/>
      <c r="AJ15" s="6"/>
      <c r="AK15" s="6"/>
    </row>
    <row r="16" spans="1:37" ht="15.75">
      <c r="D16" s="3">
        <f t="shared" si="21"/>
        <v>0.86027824716420276</v>
      </c>
      <c r="E16" s="3">
        <f t="shared" si="11"/>
        <v>-6.5361058449969978E-2</v>
      </c>
      <c r="F16" s="3">
        <f t="shared" si="12"/>
        <v>-3.4331883113509538</v>
      </c>
      <c r="G16" s="4">
        <f t="shared" si="13"/>
        <v>5.4585440985642378E-4</v>
      </c>
      <c r="H16" s="3">
        <f t="shared" si="14"/>
        <v>-0.17026513459152323</v>
      </c>
      <c r="I16" s="3">
        <f t="shared" si="15"/>
        <v>1.18546758069965</v>
      </c>
      <c r="J16" s="4">
        <f t="shared" si="16"/>
        <v>0.45405884614340031</v>
      </c>
      <c r="K16" s="4">
        <f t="shared" si="17"/>
        <v>2.4374548953572287E-5</v>
      </c>
      <c r="L16" s="9">
        <f t="shared" si="18"/>
        <v>82387769635664.406</v>
      </c>
      <c r="M16" s="4">
        <f t="shared" si="19"/>
        <v>1845028084807765</v>
      </c>
      <c r="N16" s="3">
        <f t="shared" si="20"/>
        <v>8.3333333333333339</v>
      </c>
      <c r="O16" s="12">
        <v>1200</v>
      </c>
      <c r="P16" s="13"/>
      <c r="Q16" s="4">
        <f t="shared" si="10"/>
        <v>38667092194.342293</v>
      </c>
      <c r="R16" s="4"/>
      <c r="S16" s="6"/>
      <c r="T16" s="6"/>
      <c r="U16" s="19"/>
      <c r="V16" s="17"/>
      <c r="W16" s="5"/>
      <c r="X16" s="9"/>
      <c r="Y16" s="4"/>
      <c r="Z16" s="6"/>
      <c r="AB16" s="6"/>
      <c r="AD16" s="6"/>
      <c r="AG16" s="6"/>
      <c r="AH16" s="6"/>
      <c r="AI16" s="6"/>
      <c r="AJ16" s="6"/>
      <c r="AK16" s="6"/>
    </row>
    <row r="17" spans="1:37" ht="15.75">
      <c r="D17" s="3">
        <f t="shared" si="21"/>
        <v>0.86424914465431313</v>
      </c>
      <c r="E17" s="3">
        <f t="shared" si="11"/>
        <v>-6.3361041605741575E-2</v>
      </c>
      <c r="F17" s="3">
        <f t="shared" si="12"/>
        <v>-3.5271134002925328</v>
      </c>
      <c r="G17" s="4">
        <f t="shared" si="13"/>
        <v>4.396952098162111E-4</v>
      </c>
      <c r="H17" s="3">
        <f t="shared" si="14"/>
        <v>-0.17026513459152323</v>
      </c>
      <c r="I17" s="3">
        <f t="shared" si="15"/>
        <v>1.18546758069965</v>
      </c>
      <c r="J17" s="4">
        <f t="shared" si="16"/>
        <v>0.45405884614340031</v>
      </c>
      <c r="K17" s="4">
        <f t="shared" si="17"/>
        <v>2.2499583649451342E-5</v>
      </c>
      <c r="L17" s="9">
        <f t="shared" si="18"/>
        <v>85801817887422.609</v>
      </c>
      <c r="M17" s="4">
        <f t="shared" si="19"/>
        <v>1676770953027950.5</v>
      </c>
      <c r="N17" s="3">
        <f t="shared" si="20"/>
        <v>7.6923076923076925</v>
      </c>
      <c r="O17" s="12">
        <v>1300</v>
      </c>
      <c r="P17" s="13"/>
      <c r="Q17" s="4">
        <f t="shared" si="10"/>
        <v>32590893480.296768</v>
      </c>
      <c r="R17" s="4"/>
      <c r="S17" s="6"/>
      <c r="T17" s="6"/>
      <c r="U17" s="19"/>
      <c r="V17" s="17"/>
      <c r="W17" s="5"/>
      <c r="X17" s="9"/>
      <c r="Y17" s="4"/>
      <c r="Z17" s="6"/>
      <c r="AB17" s="6"/>
      <c r="AD17" s="6"/>
      <c r="AG17" s="6"/>
      <c r="AH17" s="6"/>
      <c r="AI17" s="6"/>
      <c r="AJ17" s="6"/>
      <c r="AK17" s="6"/>
    </row>
    <row r="18" spans="1:37" ht="15.75">
      <c r="A18" s="6"/>
      <c r="B18" s="6"/>
      <c r="D18" s="3">
        <f>10^E18</f>
        <v>0.87088405250276579</v>
      </c>
      <c r="E18" s="3">
        <f>LOG(J18)/(1+(F18/(I18-0.14*F18))^2)</f>
        <v>-6.0039662110808391E-2</v>
      </c>
      <c r="F18" s="3">
        <f>LOG(G18)+H18</f>
        <v>-3.6962042094848027</v>
      </c>
      <c r="G18" s="4">
        <f>M18*K18/L18</f>
        <v>2.9789343006387506E-4</v>
      </c>
      <c r="H18" s="3">
        <f>-0.4-0.67*LOG(J18)</f>
        <v>-0.17026513459152323</v>
      </c>
      <c r="I18" s="3">
        <f>0.75-1.27*LOG(J18)</f>
        <v>1.18546758069965</v>
      </c>
      <c r="J18" s="4">
        <f t="shared" si="16"/>
        <v>0.45405884614340031</v>
      </c>
      <c r="K18" s="4">
        <f t="shared" si="17"/>
        <v>1.9499639162857828E-5</v>
      </c>
      <c r="L18" s="9">
        <f t="shared" si="18"/>
        <v>92396720595423.437</v>
      </c>
      <c r="M18" s="4">
        <f>$B$7*O18^$B$8*EXP(-$B$9/1.987/O18)</f>
        <v>1411532582472170.2</v>
      </c>
      <c r="N18" s="3">
        <f>10000/O18</f>
        <v>6.666666666666667</v>
      </c>
      <c r="O18" s="12">
        <v>1500</v>
      </c>
      <c r="P18" s="13"/>
      <c r="Q18" s="4">
        <f>L18/(1+L18/M18/K18)*D18</f>
        <v>23963401595.211651</v>
      </c>
      <c r="R18" s="4"/>
      <c r="S18" s="6"/>
      <c r="T18" s="6"/>
      <c r="U18" s="19"/>
      <c r="V18" s="17"/>
      <c r="W18" s="5"/>
      <c r="X18" s="9"/>
      <c r="Y18" s="4"/>
      <c r="Z18" s="6"/>
      <c r="AB18" s="6"/>
      <c r="AD18" s="6"/>
      <c r="AG18" s="6"/>
      <c r="AH18" s="6"/>
      <c r="AI18" s="6"/>
      <c r="AJ18" s="6"/>
      <c r="AK18" s="6"/>
    </row>
    <row r="19" spans="1:37" ht="15.75">
      <c r="B19" s="11"/>
      <c r="D19" s="3">
        <f>10^E19</f>
        <v>0.87854943506125405</v>
      </c>
      <c r="E19" s="3">
        <f>LOG(J19)/(1+(F19/(I19-0.14*F19))^2)</f>
        <v>-5.6233796183172015E-2</v>
      </c>
      <c r="F19" s="3">
        <f>LOG(G19)+H19</f>
        <v>-3.9135418387490852</v>
      </c>
      <c r="G19" s="4">
        <f>M19*K19/L19</f>
        <v>1.8060230790870293E-4</v>
      </c>
      <c r="H19" s="3">
        <f>-0.4-0.67*LOG(J19)</f>
        <v>-0.17026513459152323</v>
      </c>
      <c r="I19" s="3">
        <f>0.75-1.27*LOG(J19)</f>
        <v>1.18546758069965</v>
      </c>
      <c r="J19" s="4">
        <f t="shared" si="16"/>
        <v>0.45405884614340031</v>
      </c>
      <c r="K19" s="4">
        <f t="shared" si="17"/>
        <v>1.6249699302381525E-5</v>
      </c>
      <c r="L19" s="9">
        <f t="shared" si="18"/>
        <v>101779852540394.17</v>
      </c>
      <c r="M19" s="4">
        <f>$B$7*O19^$B$8*EXP(-$B$9/1.987/O19)</f>
        <v>1131201010267843.2</v>
      </c>
      <c r="N19" s="3">
        <f>10000/O19</f>
        <v>5.5555555555555554</v>
      </c>
      <c r="O19" s="12">
        <v>1800</v>
      </c>
      <c r="P19" s="13"/>
      <c r="Q19" s="4">
        <f>L19/(1+L19/M19/K19)*D19</f>
        <v>16146295242.020575</v>
      </c>
      <c r="R19" s="4"/>
      <c r="S19" s="6"/>
      <c r="T19" s="6"/>
      <c r="U19" s="19"/>
      <c r="V19" s="17"/>
      <c r="W19" s="5"/>
      <c r="X19" s="9"/>
      <c r="Y19" s="4"/>
      <c r="Z19" s="6"/>
      <c r="AB19" s="6"/>
      <c r="AD19" s="6"/>
      <c r="AG19" s="6"/>
      <c r="AH19" s="6"/>
      <c r="AI19" s="6"/>
      <c r="AJ19" s="6"/>
      <c r="AK19" s="6"/>
    </row>
    <row r="20" spans="1:37">
      <c r="B20" s="10"/>
      <c r="D20" s="2" t="s">
        <v>4</v>
      </c>
      <c r="E20" s="2" t="s">
        <v>5</v>
      </c>
      <c r="F20" t="s">
        <v>6</v>
      </c>
      <c r="G20" s="6" t="s">
        <v>7</v>
      </c>
      <c r="H20" s="2" t="s">
        <v>8</v>
      </c>
      <c r="I20" t="s">
        <v>9</v>
      </c>
      <c r="J20" t="s">
        <v>10</v>
      </c>
      <c r="K20" s="6" t="s">
        <v>11</v>
      </c>
      <c r="L20" s="6" t="s">
        <v>12</v>
      </c>
      <c r="M20" s="6" t="s">
        <v>13</v>
      </c>
      <c r="N20" s="2" t="s">
        <v>14</v>
      </c>
      <c r="P20">
        <f>760*5</f>
        <v>3800</v>
      </c>
      <c r="Q20" s="6" t="s">
        <v>16</v>
      </c>
      <c r="S20" s="6"/>
      <c r="T20" s="6"/>
      <c r="Z20" s="6"/>
      <c r="AG20" s="6"/>
      <c r="AH20" s="6"/>
      <c r="AI20" s="6"/>
      <c r="AJ20" s="6"/>
      <c r="AK20" s="6"/>
    </row>
    <row r="21" spans="1:37" ht="15.75">
      <c r="D21" s="37">
        <f t="shared" ref="D21:D31" si="22">10^E21</f>
        <v>0.71152011468120058</v>
      </c>
      <c r="E21" s="37">
        <f t="shared" ref="E21:E31" si="23">LOG(J21)/(1+(F21/(I21-0.14*F21))^2)</f>
        <v>-0.14781281789653394</v>
      </c>
      <c r="F21" s="37">
        <f t="shared" ref="F21:F31" si="24">LOG(G21)+H21</f>
        <v>-1.6228771474467032</v>
      </c>
      <c r="G21" s="20">
        <f t="shared" ref="G21:G31" si="25">M21*K21/L21</f>
        <v>3.5268581046953601E-2</v>
      </c>
      <c r="H21" s="37">
        <f>-0.4-0.67*LOG(J21)</f>
        <v>-0.17026513459152323</v>
      </c>
      <c r="I21" s="37">
        <f t="shared" ref="I21:I31" si="26">0.75-1.27*LOG(J21)</f>
        <v>1.18546758069965</v>
      </c>
      <c r="J21" s="20">
        <f>(1-$B$10)*EXP(-O21/$B$11)+$B$10*EXP(-O21/$B$12)+EXP(-B$13/O21)</f>
        <v>0.45405884614340031</v>
      </c>
      <c r="K21" s="20">
        <f t="shared" ref="K21:K33" si="27">$P$20*101325/760/8.314/O21/1000000</f>
        <v>2.0312124127976907E-4</v>
      </c>
      <c r="L21" s="38">
        <f>B$4*O21^B$5*EXP(-B$6/1.987/O21)</f>
        <v>48271057302442.148</v>
      </c>
      <c r="M21" s="20">
        <f t="shared" ref="M21:M31" si="28">$B$7*O21^$B$8*EXP(-$B$9/1.987/O21)</f>
        <v>8381455755030811</v>
      </c>
      <c r="N21" s="37">
        <f t="shared" ref="N21:N31" si="29">10000/O21</f>
        <v>33.333333333333336</v>
      </c>
      <c r="O21" s="39">
        <v>300</v>
      </c>
      <c r="P21" s="40"/>
      <c r="Q21" s="20">
        <f t="shared" ref="Q21:Q31" si="30">L21/(1+L21/M21/K21)*D21</f>
        <v>1170062193180.2822</v>
      </c>
      <c r="R21" s="20">
        <f>0.0000000000014*6.02E+23</f>
        <v>842800000000</v>
      </c>
      <c r="S21" s="20">
        <f>(R21-Q21)^2/Q21^2</f>
        <v>7.8230080940288493E-2</v>
      </c>
      <c r="T21" s="20"/>
      <c r="AG21" s="6"/>
      <c r="AH21" s="6"/>
      <c r="AI21" s="6"/>
      <c r="AJ21" s="6"/>
      <c r="AK21" s="6"/>
    </row>
    <row r="22" spans="1:37" ht="15.75">
      <c r="D22" s="7">
        <f t="shared" si="22"/>
        <v>0.74775935533695193</v>
      </c>
      <c r="E22" s="7">
        <f t="shared" si="23"/>
        <v>-0.12623814473489467</v>
      </c>
      <c r="F22" s="7">
        <f t="shared" si="24"/>
        <v>-1.9018088483462663</v>
      </c>
      <c r="G22" s="8">
        <f t="shared" si="25"/>
        <v>1.8554800373587511E-2</v>
      </c>
      <c r="H22" s="7">
        <f t="shared" ref="H22:H31" si="31">-0.4-0.67*LOG(J22)</f>
        <v>-0.17026513459152323</v>
      </c>
      <c r="I22" s="7">
        <f t="shared" si="26"/>
        <v>1.18546758069965</v>
      </c>
      <c r="J22" s="4">
        <f t="shared" ref="J22:J33" si="32">(1-$B$10)*EXP(-O22/$B$11)+$B$10*EXP(-O22/$B$12)+EXP(-B$13/O22)</f>
        <v>0.45405884614340031</v>
      </c>
      <c r="K22" s="8">
        <f t="shared" si="27"/>
        <v>1.523409309598268E-4</v>
      </c>
      <c r="L22" s="9">
        <f t="shared" ref="L22:L33" si="33">B$4*O22^B$5*EXP(-B$6/1.987/O22)</f>
        <v>51915144096005.555</v>
      </c>
      <c r="M22" s="8">
        <f t="shared" si="28"/>
        <v>6323153790634473</v>
      </c>
      <c r="N22" s="7">
        <f t="shared" si="29"/>
        <v>25</v>
      </c>
      <c r="O22" s="12">
        <v>400</v>
      </c>
      <c r="P22" s="13"/>
      <c r="Q22" s="20">
        <f t="shared" si="30"/>
        <v>707176475675.07605</v>
      </c>
      <c r="R22" s="20"/>
      <c r="S22" s="6"/>
      <c r="T22" s="6"/>
      <c r="AG22" s="6"/>
      <c r="AH22" s="6"/>
      <c r="AI22" s="6"/>
      <c r="AJ22" s="6"/>
      <c r="AK22" s="6"/>
    </row>
    <row r="23" spans="1:37" ht="15.75">
      <c r="D23" s="7">
        <f t="shared" si="22"/>
        <v>0.77289230884589855</v>
      </c>
      <c r="E23" s="7">
        <f t="shared" si="23"/>
        <v>-0.11188101440270634</v>
      </c>
      <c r="F23" s="7">
        <f t="shared" si="24"/>
        <v>-2.1324030801014535</v>
      </c>
      <c r="G23" s="8">
        <f t="shared" si="25"/>
        <v>1.0910937159149857E-2</v>
      </c>
      <c r="H23" s="7">
        <f t="shared" si="31"/>
        <v>-0.17026513459152323</v>
      </c>
      <c r="I23" s="7">
        <f t="shared" si="26"/>
        <v>1.18546758069965</v>
      </c>
      <c r="J23" s="4">
        <f t="shared" si="32"/>
        <v>0.45405884614340031</v>
      </c>
      <c r="K23" s="8">
        <f t="shared" si="27"/>
        <v>1.2187274476786144E-4</v>
      </c>
      <c r="L23" s="9">
        <f t="shared" si="33"/>
        <v>55914419404048.281</v>
      </c>
      <c r="M23" s="8">
        <f t="shared" si="28"/>
        <v>5005866714251614</v>
      </c>
      <c r="N23" s="7">
        <f t="shared" si="29"/>
        <v>20</v>
      </c>
      <c r="O23" s="12">
        <v>500</v>
      </c>
      <c r="P23" s="13"/>
      <c r="Q23" s="8">
        <f t="shared" si="30"/>
        <v>466435894963.54053</v>
      </c>
      <c r="R23" s="8"/>
      <c r="S23" s="6"/>
      <c r="T23" s="6"/>
      <c r="AG23" s="6"/>
      <c r="AH23" s="6"/>
      <c r="AI23" s="6"/>
      <c r="AJ23" s="6"/>
      <c r="AK23" s="6"/>
    </row>
    <row r="24" spans="1:37" ht="15.75">
      <c r="D24" s="7">
        <f t="shared" si="22"/>
        <v>0.79129002864088749</v>
      </c>
      <c r="E24" s="7">
        <f t="shared" si="23"/>
        <v>-0.10166430695481697</v>
      </c>
      <c r="F24" s="7">
        <f t="shared" si="24"/>
        <v>-2.3281262651132955</v>
      </c>
      <c r="G24" s="8">
        <f t="shared" si="25"/>
        <v>6.9524659325932081E-3</v>
      </c>
      <c r="H24" s="7">
        <f t="shared" si="31"/>
        <v>-0.17026513459152323</v>
      </c>
      <c r="I24" s="7">
        <f t="shared" si="26"/>
        <v>1.18546758069965</v>
      </c>
      <c r="J24" s="4">
        <f t="shared" si="32"/>
        <v>0.45405884614340031</v>
      </c>
      <c r="K24" s="8">
        <f t="shared" si="27"/>
        <v>1.0156062063988453E-4</v>
      </c>
      <c r="L24" s="9">
        <f t="shared" si="33"/>
        <v>59954213423504.078</v>
      </c>
      <c r="M24" s="8">
        <f t="shared" si="28"/>
        <v>4104244575467262</v>
      </c>
      <c r="N24" s="7">
        <f t="shared" si="29"/>
        <v>16.666666666666668</v>
      </c>
      <c r="O24" s="12">
        <v>600</v>
      </c>
      <c r="P24" s="13"/>
      <c r="Q24" s="20">
        <f t="shared" si="30"/>
        <v>327555806381.90302</v>
      </c>
      <c r="R24" s="20"/>
      <c r="S24" s="6"/>
      <c r="T24" s="6"/>
      <c r="AG24" s="6"/>
      <c r="AH24" s="6"/>
      <c r="AI24" s="6"/>
      <c r="AJ24" s="6"/>
      <c r="AK24" s="6"/>
    </row>
    <row r="25" spans="1:37" ht="15.75">
      <c r="D25" s="7">
        <f t="shared" si="22"/>
        <v>0.80536357235404743</v>
      </c>
      <c r="E25" s="7">
        <f t="shared" si="23"/>
        <v>-9.4008017990826573E-2</v>
      </c>
      <c r="F25" s="7">
        <f t="shared" si="24"/>
        <v>-2.4978616553575121</v>
      </c>
      <c r="G25" s="8">
        <f t="shared" si="25"/>
        <v>4.7033086435552965E-3</v>
      </c>
      <c r="H25" s="7">
        <f t="shared" si="31"/>
        <v>-0.17026513459152323</v>
      </c>
      <c r="I25" s="7">
        <f t="shared" si="26"/>
        <v>1.18546758069965</v>
      </c>
      <c r="J25" s="4">
        <f t="shared" si="32"/>
        <v>0.45405884614340031</v>
      </c>
      <c r="K25" s="8">
        <f t="shared" si="27"/>
        <v>8.7051960548472444E-5</v>
      </c>
      <c r="L25" s="9">
        <f t="shared" si="33"/>
        <v>63935043186733.742</v>
      </c>
      <c r="M25" s="8">
        <f t="shared" si="28"/>
        <v>3454330486661539.5</v>
      </c>
      <c r="N25" s="7">
        <f t="shared" si="29"/>
        <v>14.285714285714286</v>
      </c>
      <c r="O25" s="12">
        <v>700</v>
      </c>
      <c r="P25" s="13"/>
      <c r="Q25" s="8">
        <f t="shared" si="30"/>
        <v>241044147656.08539</v>
      </c>
      <c r="R25" s="8"/>
      <c r="S25" s="6"/>
      <c r="T25" s="6"/>
      <c r="AG25" s="6"/>
      <c r="AH25" s="6"/>
      <c r="AI25" s="6"/>
      <c r="AJ25" s="6"/>
      <c r="AK25" s="6"/>
    </row>
    <row r="26" spans="1:37" ht="15.75">
      <c r="D26" s="7">
        <f t="shared" si="22"/>
        <v>0.81650926665010648</v>
      </c>
      <c r="E26" s="7">
        <f t="shared" si="23"/>
        <v>-8.8038882045292283E-2</v>
      </c>
      <c r="F26" s="7">
        <f t="shared" si="24"/>
        <v>-2.6475850489861847</v>
      </c>
      <c r="G26" s="8">
        <f t="shared" si="25"/>
        <v>3.331808912664296E-3</v>
      </c>
      <c r="H26" s="7">
        <f t="shared" si="31"/>
        <v>-0.17026513459152323</v>
      </c>
      <c r="I26" s="7">
        <f t="shared" si="26"/>
        <v>1.18546758069965</v>
      </c>
      <c r="J26" s="4">
        <f t="shared" si="32"/>
        <v>0.45405884614340031</v>
      </c>
      <c r="K26" s="8">
        <f t="shared" si="27"/>
        <v>7.6170465479913401E-5</v>
      </c>
      <c r="L26" s="9">
        <f t="shared" si="33"/>
        <v>67823786331033.422</v>
      </c>
      <c r="M26" s="8">
        <f t="shared" si="28"/>
        <v>2966712811384449</v>
      </c>
      <c r="N26" s="7">
        <f t="shared" si="29"/>
        <v>12.5</v>
      </c>
      <c r="O26" s="12">
        <v>800</v>
      </c>
      <c r="P26" s="13"/>
      <c r="Q26" s="8">
        <f t="shared" si="30"/>
        <v>183898697630.97357</v>
      </c>
      <c r="R26" s="8"/>
      <c r="S26" s="6"/>
      <c r="T26" s="6"/>
      <c r="AG26" s="6"/>
      <c r="AH26" s="6"/>
      <c r="AI26" s="6"/>
      <c r="AJ26" s="6"/>
      <c r="AK26" s="6"/>
    </row>
    <row r="27" spans="1:37" ht="15.75">
      <c r="D27" s="7">
        <f t="shared" si="22"/>
        <v>0.82952187390993715</v>
      </c>
      <c r="E27" s="7">
        <f t="shared" si="23"/>
        <v>-8.117215744777985E-2</v>
      </c>
      <c r="F27" s="7">
        <f t="shared" si="24"/>
        <v>-2.8434297854191861</v>
      </c>
      <c r="G27" s="8">
        <f t="shared" si="25"/>
        <v>2.1224396447357542E-3</v>
      </c>
      <c r="H27" s="7">
        <f t="shared" si="31"/>
        <v>-0.17026513459152323</v>
      </c>
      <c r="I27" s="7">
        <f t="shared" si="26"/>
        <v>1.18546758069965</v>
      </c>
      <c r="J27" s="4">
        <f t="shared" si="32"/>
        <v>0.45405884614340031</v>
      </c>
      <c r="K27" s="8">
        <f t="shared" si="27"/>
        <v>6.414354987782181E-5</v>
      </c>
      <c r="L27" s="9">
        <f t="shared" si="33"/>
        <v>73467195161407.453</v>
      </c>
      <c r="M27" s="8">
        <f t="shared" si="28"/>
        <v>2430948831100225.5</v>
      </c>
      <c r="N27" s="7">
        <f t="shared" si="29"/>
        <v>10.526315789473685</v>
      </c>
      <c r="O27" s="12">
        <v>950</v>
      </c>
      <c r="P27" s="13"/>
      <c r="Q27" s="8">
        <f t="shared" si="30"/>
        <v>129073136712.14699</v>
      </c>
      <c r="R27" s="8"/>
      <c r="S27" s="6"/>
      <c r="T27" s="6"/>
      <c r="AG27" s="6"/>
      <c r="AH27" s="6"/>
      <c r="AI27" s="6"/>
      <c r="AJ27" s="6"/>
      <c r="AK27" s="6"/>
    </row>
    <row r="28" spans="1:37" ht="15.75">
      <c r="D28" s="7">
        <f t="shared" si="22"/>
        <v>0.83313367454850318</v>
      </c>
      <c r="E28" s="7">
        <f t="shared" si="23"/>
        <v>-7.9285311364873823E-2</v>
      </c>
      <c r="F28" s="7">
        <f t="shared" si="24"/>
        <v>-2.902495530525369</v>
      </c>
      <c r="G28" s="8">
        <f t="shared" si="25"/>
        <v>1.8525485740973941E-3</v>
      </c>
      <c r="H28" s="7">
        <f t="shared" si="31"/>
        <v>-0.17026513459152323</v>
      </c>
      <c r="I28" s="7">
        <f t="shared" si="26"/>
        <v>1.18546758069965</v>
      </c>
      <c r="J28" s="4">
        <f t="shared" si="32"/>
        <v>0.45405884614340031</v>
      </c>
      <c r="K28" s="8">
        <f t="shared" si="27"/>
        <v>6.0936372383930719E-5</v>
      </c>
      <c r="L28" s="9">
        <f t="shared" si="33"/>
        <v>75298240556451.203</v>
      </c>
      <c r="M28" s="8">
        <f t="shared" si="28"/>
        <v>2289168894006587.5</v>
      </c>
      <c r="N28" s="7">
        <f t="shared" si="29"/>
        <v>10</v>
      </c>
      <c r="O28" s="12">
        <v>1000</v>
      </c>
      <c r="P28" s="13"/>
      <c r="Q28" s="8">
        <f t="shared" si="30"/>
        <v>116001956421.16687</v>
      </c>
      <c r="R28" s="8"/>
      <c r="S28" s="6"/>
      <c r="T28" s="6"/>
      <c r="AG28" s="6"/>
      <c r="AH28" s="6"/>
      <c r="AI28" s="6"/>
      <c r="AJ28" s="6"/>
      <c r="AK28" s="6"/>
    </row>
    <row r="29" spans="1:37" ht="15.75">
      <c r="D29" s="7">
        <f t="shared" si="22"/>
        <v>0.82826134181962163</v>
      </c>
      <c r="E29" s="7">
        <f t="shared" si="23"/>
        <v>-8.1832608381769076E-2</v>
      </c>
      <c r="F29" s="7">
        <f t="shared" si="24"/>
        <v>-2.8233309578208918</v>
      </c>
      <c r="G29" s="8">
        <f t="shared" si="25"/>
        <v>2.2229729433651075E-3</v>
      </c>
      <c r="H29" s="7">
        <f t="shared" si="31"/>
        <v>-0.17026513459152323</v>
      </c>
      <c r="I29" s="7">
        <f t="shared" si="26"/>
        <v>1.18546758069965</v>
      </c>
      <c r="J29" s="4">
        <f t="shared" si="32"/>
        <v>0.45405884614340031</v>
      </c>
      <c r="K29" s="8">
        <f>760*8.1*101325/760/8.314/O29/1000000</f>
        <v>8.8218876909712041E-5</v>
      </c>
      <c r="L29" s="9">
        <f t="shared" si="33"/>
        <v>79560208708896.016</v>
      </c>
      <c r="M29" s="8">
        <f t="shared" si="28"/>
        <v>2004788516060628.5</v>
      </c>
      <c r="N29" s="7">
        <f t="shared" si="29"/>
        <v>8.9365504915102765</v>
      </c>
      <c r="O29" s="12">
        <v>1119</v>
      </c>
      <c r="P29" s="13"/>
      <c r="Q29" s="8">
        <f t="shared" si="30"/>
        <v>146161546221.48907</v>
      </c>
      <c r="R29" s="8"/>
      <c r="S29" s="6"/>
      <c r="T29" s="6"/>
      <c r="AG29" s="6"/>
      <c r="AH29" s="6"/>
      <c r="AI29" s="6"/>
      <c r="AJ29" s="6"/>
      <c r="AK29" s="6"/>
    </row>
    <row r="30" spans="1:37" ht="15.75">
      <c r="D30" s="7">
        <f t="shared" si="22"/>
        <v>0.83214229648773619</v>
      </c>
      <c r="E30" s="7">
        <f t="shared" si="23"/>
        <v>-7.9802402921616708E-2</v>
      </c>
      <c r="F30" s="7">
        <f t="shared" si="24"/>
        <v>-2.8860598086788016</v>
      </c>
      <c r="G30" s="8">
        <f t="shared" si="25"/>
        <v>1.9240011439196059E-3</v>
      </c>
      <c r="H30" s="7">
        <f t="shared" si="31"/>
        <v>-0.17026513459152323</v>
      </c>
      <c r="I30" s="7">
        <f t="shared" si="26"/>
        <v>1.18546758069965</v>
      </c>
      <c r="J30" s="4">
        <f t="shared" si="32"/>
        <v>0.45405884614340031</v>
      </c>
      <c r="K30" s="8">
        <f>760*7.3*101325/760/8.314/O30/1000000</f>
        <v>7.8316112394840532E-5</v>
      </c>
      <c r="L30" s="9">
        <f t="shared" si="33"/>
        <v>80158435686130.437</v>
      </c>
      <c r="M30" s="8">
        <f t="shared" si="28"/>
        <v>1969261716891369.2</v>
      </c>
      <c r="N30" s="7">
        <f t="shared" si="29"/>
        <v>8.8028169014084501</v>
      </c>
      <c r="O30" s="12">
        <v>1136</v>
      </c>
      <c r="P30" s="13"/>
      <c r="Q30" s="8">
        <f t="shared" si="30"/>
        <v>128090634204.47513</v>
      </c>
      <c r="R30" s="8"/>
      <c r="S30" s="6"/>
      <c r="T30" s="6"/>
      <c r="AG30" s="6"/>
      <c r="AH30" s="6"/>
      <c r="AI30" s="6"/>
      <c r="AJ30" s="6"/>
      <c r="AK30" s="6"/>
    </row>
    <row r="31" spans="1:37" ht="15.75">
      <c r="D31" s="7">
        <f t="shared" si="22"/>
        <v>0.84983619532920041</v>
      </c>
      <c r="E31" s="7">
        <f t="shared" si="23"/>
        <v>-7.066477583889684E-2</v>
      </c>
      <c r="F31" s="7">
        <f t="shared" si="24"/>
        <v>-3.20835463766812</v>
      </c>
      <c r="G31" s="8">
        <f t="shared" si="25"/>
        <v>9.1603168711710658E-4</v>
      </c>
      <c r="H31" s="7">
        <f t="shared" si="31"/>
        <v>-0.17026513459152323</v>
      </c>
      <c r="I31" s="7">
        <f t="shared" si="26"/>
        <v>1.18546758069965</v>
      </c>
      <c r="J31" s="4">
        <f t="shared" si="32"/>
        <v>0.45405884614340031</v>
      </c>
      <c r="K31" s="8">
        <f t="shared" si="27"/>
        <v>4.6874132603023633E-5</v>
      </c>
      <c r="L31" s="9">
        <f t="shared" si="33"/>
        <v>85801817887422.609</v>
      </c>
      <c r="M31" s="8">
        <f t="shared" si="28"/>
        <v>1676770953027950.5</v>
      </c>
      <c r="N31" s="7">
        <f t="shared" si="29"/>
        <v>7.6923076923076925</v>
      </c>
      <c r="O31" s="12">
        <v>1300</v>
      </c>
      <c r="P31" s="13"/>
      <c r="Q31" s="8">
        <f t="shared" si="30"/>
        <v>66733601717.941383</v>
      </c>
      <c r="R31" s="8"/>
      <c r="S31" s="6"/>
      <c r="T31" s="6"/>
      <c r="AG31" s="6"/>
      <c r="AH31" s="6"/>
      <c r="AI31" s="6"/>
      <c r="AJ31" s="6"/>
      <c r="AK31" s="6"/>
    </row>
    <row r="32" spans="1:37" ht="15.75">
      <c r="D32" s="7">
        <f>10^E32</f>
        <v>0.8578172466200763</v>
      </c>
      <c r="E32" s="7">
        <f>LOG(J32)/(1+(F32/(I32-0.14*F32))^2)</f>
        <v>-6.6605226415160965E-2</v>
      </c>
      <c r="F32" s="7">
        <f>LOG(G32)+H32</f>
        <v>-3.3774454468603898</v>
      </c>
      <c r="G32" s="8">
        <f>M32*K32/L32</f>
        <v>6.2061131263307315E-4</v>
      </c>
      <c r="H32" s="7">
        <f>-0.4-0.67*LOG(J32)</f>
        <v>-0.17026513459152323</v>
      </c>
      <c r="I32" s="7">
        <f>0.75-1.27*LOG(J32)</f>
        <v>1.18546758069965</v>
      </c>
      <c r="J32" s="4">
        <f t="shared" si="32"/>
        <v>0.45405884614340031</v>
      </c>
      <c r="K32" s="8">
        <f t="shared" si="27"/>
        <v>4.0624248255953815E-5</v>
      </c>
      <c r="L32" s="9">
        <f t="shared" si="33"/>
        <v>92396720595423.437</v>
      </c>
      <c r="M32" s="8">
        <f>$B$7*O32^$B$8*EXP(-$B$9/1.987/O32)</f>
        <v>1411532582472170.2</v>
      </c>
      <c r="N32" s="7">
        <f>10000/O32</f>
        <v>6.666666666666667</v>
      </c>
      <c r="O32" s="12">
        <v>1500</v>
      </c>
      <c r="P32" s="13"/>
      <c r="Q32" s="8">
        <f>L32/(1+L32/M32/K32)*D32</f>
        <v>49158834089.26152</v>
      </c>
      <c r="R32" s="8"/>
      <c r="S32" s="6"/>
      <c r="T32" s="6"/>
      <c r="Z32" s="6"/>
      <c r="AG32" s="6"/>
      <c r="AH32" s="6"/>
      <c r="AI32" s="6"/>
      <c r="AJ32" s="6"/>
      <c r="AK32" s="6"/>
    </row>
    <row r="33" spans="4:45" ht="15.75">
      <c r="D33" s="7">
        <f>10^E33</f>
        <v>0.86698054019109894</v>
      </c>
      <c r="E33" s="7">
        <f>LOG(J33)/(1+(F33/(I33-0.14*F33))^2)</f>
        <v>-6.1990650369776509E-2</v>
      </c>
      <c r="F33" s="7">
        <f>LOG(G33)+H33</f>
        <v>-3.5947830761246728</v>
      </c>
      <c r="G33" s="8">
        <f>M33*K33/L33</f>
        <v>3.7625480814313105E-4</v>
      </c>
      <c r="H33" s="7">
        <f>-0.4-0.67*LOG(J33)</f>
        <v>-0.17026513459152323</v>
      </c>
      <c r="I33" s="7">
        <f>0.75-1.27*LOG(J33)</f>
        <v>1.18546758069965</v>
      </c>
      <c r="J33" s="4">
        <f t="shared" si="32"/>
        <v>0.45405884614340031</v>
      </c>
      <c r="K33" s="8">
        <f t="shared" si="27"/>
        <v>3.3853540213294842E-5</v>
      </c>
      <c r="L33" s="9">
        <f t="shared" si="33"/>
        <v>101779852540394.17</v>
      </c>
      <c r="M33" s="8">
        <f>$B$7*O33^$B$8*EXP(-$B$9/1.987/O33)</f>
        <v>1131201010267843.2</v>
      </c>
      <c r="N33" s="7">
        <f>10000/O33</f>
        <v>5.5555555555555554</v>
      </c>
      <c r="O33" s="12">
        <v>1800</v>
      </c>
      <c r="P33" s="13"/>
      <c r="Q33" s="8">
        <f>L33/(1+L33/M33/K33)*D33</f>
        <v>33188670144.804337</v>
      </c>
      <c r="R33" s="8"/>
      <c r="S33" s="6"/>
      <c r="T33" s="6"/>
      <c r="Z33" s="10"/>
      <c r="AG33" s="6"/>
      <c r="AH33" s="6"/>
      <c r="AI33" s="6"/>
      <c r="AJ33" s="6"/>
      <c r="AK33" s="6"/>
    </row>
    <row r="34" spans="4:45">
      <c r="D34" s="2" t="s">
        <v>4</v>
      </c>
      <c r="E34" s="2" t="s">
        <v>5</v>
      </c>
      <c r="F34" t="s">
        <v>6</v>
      </c>
      <c r="G34" s="6" t="s">
        <v>7</v>
      </c>
      <c r="H34" s="2" t="s">
        <v>8</v>
      </c>
      <c r="I34" t="s">
        <v>9</v>
      </c>
      <c r="J34" t="s">
        <v>10</v>
      </c>
      <c r="K34" s="6" t="s">
        <v>11</v>
      </c>
      <c r="L34" s="6" t="s">
        <v>12</v>
      </c>
      <c r="M34" s="6" t="s">
        <v>13</v>
      </c>
      <c r="N34" s="2" t="s">
        <v>14</v>
      </c>
      <c r="P34">
        <f>760*7</f>
        <v>5320</v>
      </c>
      <c r="Q34" s="6" t="s">
        <v>16</v>
      </c>
      <c r="S34" s="6"/>
      <c r="T34" s="6"/>
      <c r="Z34" s="10"/>
      <c r="AG34" s="6"/>
      <c r="AH34" s="6"/>
      <c r="AI34" s="6"/>
      <c r="AJ34" s="6"/>
      <c r="AK34" s="6"/>
    </row>
    <row r="35" spans="4:45" ht="15.75">
      <c r="D35" s="2">
        <f t="shared" ref="D35:D45" si="34">10^E35</f>
        <v>0.68968506209920555</v>
      </c>
      <c r="E35" s="2">
        <f t="shared" ref="E35:E45" si="35">LOG(J35)/(1+(F35/(I35-0.14*F35))^2)</f>
        <v>-0.16134918030095499</v>
      </c>
      <c r="F35" s="2">
        <f t="shared" ref="F35:F45" si="36">LOG(G35)+H35</f>
        <v>-1.476749111768465</v>
      </c>
      <c r="G35" s="6">
        <f t="shared" ref="G35:G45" si="37">M35*K35/L35</f>
        <v>4.9376013465735044E-2</v>
      </c>
      <c r="H35" s="2">
        <f>-0.4-0.67*LOG(J35)</f>
        <v>-0.17026513459152323</v>
      </c>
      <c r="I35" s="2">
        <f t="shared" ref="I35:I45" si="38">0.75-1.27*LOG(J35)</f>
        <v>1.18546758069965</v>
      </c>
      <c r="J35" s="4">
        <f>(1-$B$10)*EXP(-O35/$B$11)+$B$10*EXP(-O35/$B$12)+EXP(-B$13/O35)</f>
        <v>0.45405884614340031</v>
      </c>
      <c r="K35" s="6">
        <f t="shared" ref="K35:K45" si="39">$P$34*101325/760/8.314/O35/1000000</f>
        <v>2.8436973779167668E-4</v>
      </c>
      <c r="L35" s="9">
        <f>B$4*O35^B$5*EXP(-B$6/1.987/O35)</f>
        <v>48271057302442.148</v>
      </c>
      <c r="M35" s="23">
        <f t="shared" ref="M35:M45" si="40">$B$7*O35^$B$8*EXP(-$B$9/1.987/O35)</f>
        <v>8381455755030811</v>
      </c>
      <c r="N35" s="2">
        <f t="shared" ref="N35:N45" si="41">10000/O35</f>
        <v>33.333333333333336</v>
      </c>
      <c r="O35" s="12">
        <v>300</v>
      </c>
      <c r="P35" s="13"/>
      <c r="Q35" s="6">
        <f t="shared" ref="Q35:Q45" si="42">L35/(1+L35/M35/K35)*D35</f>
        <v>1566471583801.3005</v>
      </c>
      <c r="R35" s="6"/>
      <c r="S35" s="6"/>
      <c r="T35" s="6"/>
      <c r="U35" s="23"/>
      <c r="AG35" s="6"/>
      <c r="AH35" s="6"/>
      <c r="AI35" s="6"/>
      <c r="AJ35" s="6"/>
      <c r="AK35" s="6"/>
    </row>
    <row r="36" spans="4:45" ht="15.75">
      <c r="D36" s="37">
        <f t="shared" si="34"/>
        <v>0.72962998749174368</v>
      </c>
      <c r="E36" s="37">
        <f t="shared" si="35"/>
        <v>-0.13689732498863347</v>
      </c>
      <c r="F36" s="37">
        <f t="shared" si="36"/>
        <v>-1.7556808126680283</v>
      </c>
      <c r="G36" s="20">
        <f t="shared" si="37"/>
        <v>2.5976720523022516E-2</v>
      </c>
      <c r="H36" s="37">
        <f t="shared" ref="H36:H45" si="43">-0.4-0.67*LOG(J36)</f>
        <v>-0.17026513459152323</v>
      </c>
      <c r="I36" s="37">
        <f t="shared" si="38"/>
        <v>1.18546758069965</v>
      </c>
      <c r="J36" s="20">
        <f t="shared" ref="J36:J47" si="44">(1-$B$10)*EXP(-O36/$B$11)+$B$10*EXP(-O36/$B$12)+EXP(-B$13/O36)</f>
        <v>0.45405884614340031</v>
      </c>
      <c r="K36" s="20">
        <f t="shared" si="39"/>
        <v>2.1327730334375753E-4</v>
      </c>
      <c r="L36" s="38">
        <f t="shared" ref="L36:L47" si="45">B$4*O36^B$5*EXP(-B$6/1.987/O36)</f>
        <v>51915144096005.555</v>
      </c>
      <c r="M36" s="41">
        <f t="shared" si="40"/>
        <v>6323153790634473</v>
      </c>
      <c r="N36" s="37">
        <f t="shared" si="41"/>
        <v>25</v>
      </c>
      <c r="O36" s="39">
        <v>400</v>
      </c>
      <c r="P36" s="40"/>
      <c r="Q36" s="20">
        <f t="shared" si="42"/>
        <v>959055088646.52905</v>
      </c>
      <c r="R36" s="20">
        <f>0.0000000000014*6.02E+23</f>
        <v>842800000000</v>
      </c>
      <c r="S36" s="20">
        <f>(R36-Q36)^2/Q36^2</f>
        <v>1.4693891724051127E-2</v>
      </c>
      <c r="T36" s="20"/>
      <c r="U36" s="23"/>
      <c r="AG36" s="6"/>
      <c r="AH36" s="6"/>
      <c r="AI36" s="6"/>
      <c r="AJ36" s="6"/>
      <c r="AK36" s="6"/>
    </row>
    <row r="37" spans="4:45" ht="15.75">
      <c r="D37" s="2">
        <f t="shared" si="34"/>
        <v>0.75743530336091691</v>
      </c>
      <c r="E37" s="2">
        <f t="shared" si="35"/>
        <v>-0.12065445667818854</v>
      </c>
      <c r="F37" s="2">
        <f t="shared" si="36"/>
        <v>-1.9862750444232153</v>
      </c>
      <c r="G37" s="6">
        <f t="shared" si="37"/>
        <v>1.5275312022809797E-2</v>
      </c>
      <c r="H37" s="2">
        <f t="shared" si="43"/>
        <v>-0.17026513459152323</v>
      </c>
      <c r="I37" s="2">
        <f t="shared" si="38"/>
        <v>1.18546758069965</v>
      </c>
      <c r="J37" s="4">
        <f t="shared" si="44"/>
        <v>0.45405884614340031</v>
      </c>
      <c r="K37" s="6">
        <f t="shared" si="39"/>
        <v>1.7062184267500601E-4</v>
      </c>
      <c r="L37" s="9">
        <f t="shared" si="45"/>
        <v>55914419404048.281</v>
      </c>
      <c r="M37" s="23">
        <f t="shared" si="40"/>
        <v>5005866714251614</v>
      </c>
      <c r="N37" s="2">
        <f t="shared" si="41"/>
        <v>20</v>
      </c>
      <c r="O37" s="12">
        <v>500</v>
      </c>
      <c r="P37" s="13"/>
      <c r="Q37" s="6">
        <f t="shared" si="42"/>
        <v>637199795001.54138</v>
      </c>
      <c r="R37" s="6"/>
      <c r="S37" s="6"/>
      <c r="T37" s="6"/>
      <c r="U37" s="23"/>
      <c r="AG37" s="6"/>
      <c r="AH37" s="6"/>
      <c r="AI37" s="6"/>
      <c r="AJ37" s="6"/>
      <c r="AK37" s="6"/>
    </row>
    <row r="38" spans="4:45" ht="15.75">
      <c r="D38" s="2">
        <f t="shared" si="34"/>
        <v>0.77779206893186503</v>
      </c>
      <c r="E38" s="2">
        <f t="shared" si="35"/>
        <v>-0.10913648962348801</v>
      </c>
      <c r="F38" s="2">
        <f t="shared" si="36"/>
        <v>-2.1819982294350573</v>
      </c>
      <c r="G38" s="6">
        <f t="shared" si="37"/>
        <v>9.7334523056304915E-3</v>
      </c>
      <c r="H38" s="2">
        <f t="shared" si="43"/>
        <v>-0.17026513459152323</v>
      </c>
      <c r="I38" s="2">
        <f t="shared" si="38"/>
        <v>1.18546758069965</v>
      </c>
      <c r="J38" s="4">
        <f t="shared" si="44"/>
        <v>0.45405884614340031</v>
      </c>
      <c r="K38" s="6">
        <f t="shared" si="39"/>
        <v>1.4218486889583834E-4</v>
      </c>
      <c r="L38" s="9">
        <f t="shared" si="45"/>
        <v>59954213423504.078</v>
      </c>
      <c r="M38" s="23">
        <f t="shared" si="40"/>
        <v>4104244575467262</v>
      </c>
      <c r="N38" s="2">
        <f t="shared" si="41"/>
        <v>16.666666666666668</v>
      </c>
      <c r="O38" s="12">
        <v>600</v>
      </c>
      <c r="P38" s="13"/>
      <c r="Q38" s="6">
        <f t="shared" si="42"/>
        <v>449514163777.0318</v>
      </c>
      <c r="R38" s="6"/>
      <c r="S38" s="6"/>
      <c r="T38" s="6"/>
      <c r="U38" s="23"/>
      <c r="AG38" s="6"/>
      <c r="AH38" s="6"/>
      <c r="AI38" s="6"/>
      <c r="AJ38" s="6"/>
      <c r="AK38" s="6"/>
    </row>
    <row r="39" spans="4:45" ht="15.75">
      <c r="D39" s="2">
        <f t="shared" si="34"/>
        <v>0.79334620518848509</v>
      </c>
      <c r="E39" s="2">
        <f t="shared" si="35"/>
        <v>-0.10053725128040122</v>
      </c>
      <c r="F39" s="2">
        <f t="shared" si="36"/>
        <v>-2.3517336196792744</v>
      </c>
      <c r="G39" s="6">
        <f t="shared" si="37"/>
        <v>6.5846321009774157E-3</v>
      </c>
      <c r="H39" s="2">
        <f t="shared" si="43"/>
        <v>-0.17026513459152323</v>
      </c>
      <c r="I39" s="2">
        <f t="shared" si="38"/>
        <v>1.18546758069965</v>
      </c>
      <c r="J39" s="4">
        <f t="shared" si="44"/>
        <v>0.45405884614340031</v>
      </c>
      <c r="K39" s="6">
        <f t="shared" si="39"/>
        <v>1.2187274476786144E-4</v>
      </c>
      <c r="L39" s="9">
        <f t="shared" si="45"/>
        <v>63935043186733.742</v>
      </c>
      <c r="M39" s="23">
        <f t="shared" si="40"/>
        <v>3454330486661539.5</v>
      </c>
      <c r="N39" s="2">
        <f t="shared" si="41"/>
        <v>14.285714285714286</v>
      </c>
      <c r="O39" s="12">
        <v>700</v>
      </c>
      <c r="P39" s="13"/>
      <c r="Q39" s="20">
        <f t="shared" si="42"/>
        <v>331805003638.6593</v>
      </c>
      <c r="R39" s="20"/>
      <c r="S39" s="6"/>
      <c r="T39" s="6"/>
      <c r="U39" s="23"/>
      <c r="AG39" s="6"/>
      <c r="AH39" s="6"/>
      <c r="AI39" s="6"/>
      <c r="AJ39" s="6"/>
      <c r="AK39" s="6"/>
    </row>
    <row r="40" spans="4:45" ht="15.75">
      <c r="D40" s="2">
        <f t="shared" si="34"/>
        <v>0.80564451772539447</v>
      </c>
      <c r="E40" s="2">
        <f t="shared" si="35"/>
        <v>-9.3856543859218433E-2</v>
      </c>
      <c r="F40" s="2">
        <f t="shared" si="36"/>
        <v>-2.5014570133079466</v>
      </c>
      <c r="G40" s="6">
        <f t="shared" si="37"/>
        <v>4.6645324777300151E-3</v>
      </c>
      <c r="H40" s="2">
        <f t="shared" si="43"/>
        <v>-0.17026513459152323</v>
      </c>
      <c r="I40" s="2">
        <f t="shared" si="38"/>
        <v>1.18546758069965</v>
      </c>
      <c r="J40" s="4">
        <f t="shared" si="44"/>
        <v>0.45405884614340031</v>
      </c>
      <c r="K40" s="6">
        <f t="shared" si="39"/>
        <v>1.0663865167187876E-4</v>
      </c>
      <c r="L40" s="9">
        <f t="shared" si="45"/>
        <v>67823786331033.422</v>
      </c>
      <c r="M40" s="23">
        <f t="shared" si="40"/>
        <v>2966712811384449</v>
      </c>
      <c r="N40" s="2">
        <f t="shared" si="41"/>
        <v>12.5</v>
      </c>
      <c r="O40" s="12">
        <v>800</v>
      </c>
      <c r="P40" s="13"/>
      <c r="Q40" s="20">
        <f t="shared" si="42"/>
        <v>253695367928.83258</v>
      </c>
      <c r="R40" s="20"/>
      <c r="S40" s="6"/>
      <c r="T40" s="6"/>
      <c r="U40" s="23"/>
      <c r="V40" s="6"/>
      <c r="W40" s="6"/>
      <c r="AG40" s="6"/>
      <c r="AH40" s="6"/>
      <c r="AI40" s="6"/>
      <c r="AJ40" s="6"/>
      <c r="AK40" s="6"/>
    </row>
    <row r="41" spans="4:45" ht="15.75">
      <c r="D41" s="2">
        <f t="shared" si="34"/>
        <v>0.81563840242846497</v>
      </c>
      <c r="E41" s="2">
        <f t="shared" si="35"/>
        <v>-8.8502334671550359E-2</v>
      </c>
      <c r="F41" s="2">
        <f t="shared" si="36"/>
        <v>-2.6353337015176375</v>
      </c>
      <c r="G41" s="6">
        <f t="shared" si="37"/>
        <v>3.427136742349486E-3</v>
      </c>
      <c r="H41" s="2">
        <f t="shared" si="43"/>
        <v>-0.17026513459152323</v>
      </c>
      <c r="I41" s="2">
        <f t="shared" si="38"/>
        <v>1.18546758069965</v>
      </c>
      <c r="J41" s="4">
        <f t="shared" si="44"/>
        <v>0.45405884614340031</v>
      </c>
      <c r="K41" s="6">
        <f t="shared" si="39"/>
        <v>9.4789912597225562E-5</v>
      </c>
      <c r="L41" s="9">
        <f t="shared" si="45"/>
        <v>71611384152110.969</v>
      </c>
      <c r="M41" s="23">
        <f t="shared" si="40"/>
        <v>2589115224117070.5</v>
      </c>
      <c r="N41" s="2">
        <f t="shared" si="41"/>
        <v>11.111111111111111</v>
      </c>
      <c r="O41" s="12">
        <v>900</v>
      </c>
      <c r="P41" s="13"/>
      <c r="Q41" s="20">
        <f t="shared" si="42"/>
        <v>199491926618.5195</v>
      </c>
      <c r="R41" s="20"/>
      <c r="S41" s="6"/>
      <c r="T41" s="6"/>
      <c r="U41" s="23"/>
      <c r="W41" s="6"/>
      <c r="AG41" s="6"/>
      <c r="AH41" s="6"/>
      <c r="AI41" s="6"/>
      <c r="AJ41" s="6"/>
      <c r="AK41" s="6"/>
    </row>
    <row r="42" spans="4:45" ht="15.75">
      <c r="D42" s="2">
        <f t="shared" si="34"/>
        <v>0.82394157494190179</v>
      </c>
      <c r="E42" s="2">
        <f t="shared" si="35"/>
        <v>-8.4103582696002738E-2</v>
      </c>
      <c r="F42" s="2">
        <f t="shared" si="36"/>
        <v>-2.7563674948471308</v>
      </c>
      <c r="G42" s="6">
        <f t="shared" si="37"/>
        <v>2.5935680037363516E-3</v>
      </c>
      <c r="H42" s="2">
        <f t="shared" si="43"/>
        <v>-0.17026513459152323</v>
      </c>
      <c r="I42" s="2">
        <f t="shared" si="38"/>
        <v>1.18546758069965</v>
      </c>
      <c r="J42" s="4">
        <f t="shared" si="44"/>
        <v>0.45405884614340031</v>
      </c>
      <c r="K42" s="6">
        <f t="shared" si="39"/>
        <v>8.5310921337503003E-5</v>
      </c>
      <c r="L42" s="9">
        <f t="shared" si="45"/>
        <v>75298240556451.203</v>
      </c>
      <c r="M42" s="23">
        <f t="shared" si="40"/>
        <v>2289168894006587.5</v>
      </c>
      <c r="N42" s="2">
        <f t="shared" si="41"/>
        <v>10</v>
      </c>
      <c r="O42" s="12">
        <v>1000</v>
      </c>
      <c r="P42" s="13"/>
      <c r="Q42" s="6">
        <f t="shared" si="42"/>
        <v>160492215166.15805</v>
      </c>
      <c r="R42" s="6"/>
      <c r="S42" s="6"/>
      <c r="T42" s="6"/>
      <c r="U42" s="23"/>
      <c r="AG42" s="6"/>
      <c r="AH42" s="6"/>
      <c r="AI42" s="6"/>
      <c r="AJ42" s="6"/>
      <c r="AK42" s="6"/>
    </row>
    <row r="43" spans="4:45" ht="15.75">
      <c r="D43" s="2">
        <f t="shared" si="34"/>
        <v>0.83096664818221888</v>
      </c>
      <c r="E43" s="2">
        <f t="shared" si="35"/>
        <v>-8.0416406782791897E-2</v>
      </c>
      <c r="F43" s="2">
        <f t="shared" si="36"/>
        <v>-2.8667899278636471</v>
      </c>
      <c r="G43" s="6">
        <f t="shared" si="37"/>
        <v>2.0112923730197575E-3</v>
      </c>
      <c r="H43" s="2">
        <f t="shared" si="43"/>
        <v>-0.17026513459152323</v>
      </c>
      <c r="I43" s="2">
        <f t="shared" si="38"/>
        <v>1.18546758069965</v>
      </c>
      <c r="J43" s="4">
        <f t="shared" si="44"/>
        <v>0.45405884614340031</v>
      </c>
      <c r="K43" s="6">
        <f t="shared" si="39"/>
        <v>7.7555383034093631E-5</v>
      </c>
      <c r="L43" s="9">
        <f t="shared" si="45"/>
        <v>78888524675193.109</v>
      </c>
      <c r="M43" s="23">
        <f t="shared" si="40"/>
        <v>2045865571036453.2</v>
      </c>
      <c r="N43" s="2">
        <f t="shared" si="41"/>
        <v>9.0909090909090917</v>
      </c>
      <c r="O43" s="12">
        <v>1100</v>
      </c>
      <c r="P43" s="13"/>
      <c r="Q43" s="6">
        <f t="shared" si="42"/>
        <v>131583071036.65259</v>
      </c>
      <c r="R43" s="6"/>
      <c r="S43" s="6"/>
      <c r="T43" s="6"/>
      <c r="U43" s="23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spans="4:45" ht="15.75">
      <c r="D44" s="2">
        <f t="shared" si="34"/>
        <v>0.8370010079887561</v>
      </c>
      <c r="E44" s="2">
        <f t="shared" si="35"/>
        <v>-7.7274018991577514E-2</v>
      </c>
      <c r="F44" s="2">
        <f t="shared" si="36"/>
        <v>-2.9683015130483033</v>
      </c>
      <c r="G44" s="6">
        <f t="shared" si="37"/>
        <v>1.5920753620812362E-3</v>
      </c>
      <c r="H44" s="2">
        <f t="shared" si="43"/>
        <v>-0.17026513459152323</v>
      </c>
      <c r="I44" s="2">
        <f t="shared" si="38"/>
        <v>1.18546758069965</v>
      </c>
      <c r="J44" s="4">
        <f t="shared" si="44"/>
        <v>0.45405884614340031</v>
      </c>
      <c r="K44" s="6">
        <f t="shared" si="39"/>
        <v>7.1092434447919171E-5</v>
      </c>
      <c r="L44" s="9">
        <f t="shared" si="45"/>
        <v>82387769635664.406</v>
      </c>
      <c r="M44" s="23">
        <f t="shared" si="40"/>
        <v>1845028084807765</v>
      </c>
      <c r="N44" s="2">
        <f t="shared" si="41"/>
        <v>8.3333333333333339</v>
      </c>
      <c r="O44" s="12">
        <v>1200</v>
      </c>
      <c r="P44" s="13"/>
      <c r="Q44" s="6">
        <f t="shared" si="42"/>
        <v>109612849749.39217</v>
      </c>
      <c r="R44" s="6"/>
      <c r="S44" s="6"/>
      <c r="T44" s="6"/>
      <c r="U44" s="23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4:45" ht="15.75">
      <c r="D45" s="2">
        <f t="shared" si="34"/>
        <v>0.84225094956015467</v>
      </c>
      <c r="E45" s="2">
        <f t="shared" si="35"/>
        <v>-7.4558490719649553E-2</v>
      </c>
      <c r="F45" s="2">
        <f t="shared" si="36"/>
        <v>-3.0622266019898823</v>
      </c>
      <c r="G45" s="6">
        <f t="shared" si="37"/>
        <v>1.282444361963949E-3</v>
      </c>
      <c r="H45" s="2">
        <f t="shared" si="43"/>
        <v>-0.17026513459152323</v>
      </c>
      <c r="I45" s="2">
        <f t="shared" si="38"/>
        <v>1.18546758069965</v>
      </c>
      <c r="J45" s="4">
        <f t="shared" si="44"/>
        <v>0.45405884614340031</v>
      </c>
      <c r="K45" s="6">
        <f t="shared" si="39"/>
        <v>6.5623785644233079E-5</v>
      </c>
      <c r="L45" s="9">
        <f t="shared" si="45"/>
        <v>85801817887422.609</v>
      </c>
      <c r="M45" s="23">
        <f t="shared" si="40"/>
        <v>1676770953027950.5</v>
      </c>
      <c r="N45" s="2">
        <f t="shared" si="41"/>
        <v>7.6923076923076925</v>
      </c>
      <c r="O45" s="12">
        <v>1300</v>
      </c>
      <c r="P45" s="13"/>
      <c r="Q45" s="6">
        <f t="shared" si="42"/>
        <v>92559271879.702652</v>
      </c>
      <c r="R45" s="6"/>
      <c r="S45" s="6"/>
      <c r="T45" s="6"/>
      <c r="U45" s="23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4:45" ht="15.75">
      <c r="D46" s="2">
        <f>10^E46</f>
        <v>0.85096796841560762</v>
      </c>
      <c r="E46" s="2">
        <f>LOG(J46)/(1+(F46/(I46-0.14*F46))^2)</f>
        <v>-7.008678703898677E-2</v>
      </c>
      <c r="F46" s="2">
        <f>LOG(G46)+H46</f>
        <v>-3.2313174111821517</v>
      </c>
      <c r="G46" s="6">
        <f>M46*K46/L46</f>
        <v>8.6885583768630246E-4</v>
      </c>
      <c r="H46" s="2">
        <f>-0.4-0.67*LOG(J46)</f>
        <v>-0.17026513459152323</v>
      </c>
      <c r="I46" s="2">
        <f>0.75-1.27*LOG(J46)</f>
        <v>1.18546758069965</v>
      </c>
      <c r="J46" s="4">
        <f t="shared" si="44"/>
        <v>0.45405884614340031</v>
      </c>
      <c r="K46" s="6">
        <f>$P$34*101325/760/8.314/O46/1000000</f>
        <v>5.687394755833534E-5</v>
      </c>
      <c r="L46" s="9">
        <f t="shared" si="45"/>
        <v>92396720595423.437</v>
      </c>
      <c r="M46" s="23">
        <f>$B$7*O46^$B$8*EXP(-$B$9/1.987/O46)</f>
        <v>1411532582472170.2</v>
      </c>
      <c r="N46" s="2">
        <f>10000/O46</f>
        <v>6.666666666666667</v>
      </c>
      <c r="O46" s="12">
        <v>1500</v>
      </c>
      <c r="P46" s="13"/>
      <c r="Q46" s="6">
        <f>L46/(1+L46/M46/K46)*D46</f>
        <v>68255918960.63076</v>
      </c>
      <c r="R46" s="6"/>
      <c r="S46" s="6"/>
      <c r="T46" s="6"/>
      <c r="U46" s="23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4:45" ht="15.75">
      <c r="D47" s="2">
        <f>10^E47</f>
        <v>0.86094704264098365</v>
      </c>
      <c r="E47" s="2">
        <f>LOG(J47)/(1+(F47/(I47-0.14*F47))^2)</f>
        <v>-6.5023561433832089E-2</v>
      </c>
      <c r="F47" s="2">
        <f>LOG(G47)+H47</f>
        <v>-3.4486550404464347</v>
      </c>
      <c r="G47" s="6">
        <f>M47*K47/L47</f>
        <v>5.2675673140038359E-4</v>
      </c>
      <c r="H47" s="2">
        <f>-0.4-0.67*LOG(J47)</f>
        <v>-0.17026513459152323</v>
      </c>
      <c r="I47" s="2">
        <f>0.75-1.27*LOG(J47)</f>
        <v>1.18546758069965</v>
      </c>
      <c r="J47" s="4">
        <f t="shared" si="44"/>
        <v>0.45405884614340031</v>
      </c>
      <c r="K47" s="6">
        <f>$P$34*101325/760/8.314/O47/1000000</f>
        <v>4.7394956298612781E-5</v>
      </c>
      <c r="L47" s="9">
        <f t="shared" si="45"/>
        <v>101779852540394.17</v>
      </c>
      <c r="M47" s="23">
        <f>$B$7*O47^$B$8*EXP(-$B$9/1.987/O47)</f>
        <v>1131201010267843.2</v>
      </c>
      <c r="N47" s="2">
        <f>10000/O47</f>
        <v>5.5555555555555554</v>
      </c>
      <c r="O47" s="12">
        <v>1800</v>
      </c>
      <c r="P47" s="13"/>
      <c r="Q47" s="6">
        <f>L47/(1+L47/M47/K47)*D47</f>
        <v>46133843998.973938</v>
      </c>
      <c r="R47" s="6"/>
      <c r="S47" s="6"/>
      <c r="T47" s="6"/>
      <c r="U47" s="23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4:45">
      <c r="D48" s="2" t="s">
        <v>4</v>
      </c>
      <c r="E48" s="2" t="s">
        <v>5</v>
      </c>
      <c r="F48" t="s">
        <v>6</v>
      </c>
      <c r="G48" s="6" t="s">
        <v>7</v>
      </c>
      <c r="H48" s="2" t="s">
        <v>8</v>
      </c>
      <c r="I48" t="s">
        <v>9</v>
      </c>
      <c r="J48" t="s">
        <v>10</v>
      </c>
      <c r="K48" s="6" t="s">
        <v>11</v>
      </c>
      <c r="L48" s="6" t="s">
        <v>12</v>
      </c>
      <c r="M48" s="6" t="s">
        <v>13</v>
      </c>
      <c r="N48" s="2" t="s">
        <v>14</v>
      </c>
      <c r="P48">
        <v>6080</v>
      </c>
      <c r="Q48" s="6" t="s">
        <v>16</v>
      </c>
      <c r="S48" s="6"/>
      <c r="T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4:45" ht="15.75">
      <c r="D49" s="2">
        <f t="shared" ref="D49:D59" si="46">10^E49</f>
        <v>0.68044966568818022</v>
      </c>
      <c r="E49" s="2">
        <f t="shared" ref="E49:E59" si="47">LOG(J49)/(1+(F49/(I49-0.14*F49))^2)</f>
        <v>-0.16720399496081692</v>
      </c>
      <c r="F49" s="2">
        <f t="shared" ref="F49:F59" si="48">LOG(G49)+H49</f>
        <v>-1.4187571647907784</v>
      </c>
      <c r="G49" s="6">
        <f t="shared" ref="G49:G59" si="49">M49*K49/L49</f>
        <v>5.6429729675125766E-2</v>
      </c>
      <c r="H49" s="2">
        <f>-0.4-0.67*LOG(J49)</f>
        <v>-0.17026513459152323</v>
      </c>
      <c r="I49" s="2">
        <f t="shared" ref="I49:I59" si="50">0.75-1.27*LOG(J49)</f>
        <v>1.18546758069965</v>
      </c>
      <c r="J49" s="4">
        <f>(1-$B$10)*EXP(-O49/$B$11)+$B$10*EXP(-O49/$B$12)+EXP(-B$13/O49)</f>
        <v>0.45405884614340031</v>
      </c>
      <c r="K49" s="6">
        <f t="shared" ref="K49:K59" si="51">$P$48*101325/760/8.314/O49/1000000</f>
        <v>3.2499398604763052E-4</v>
      </c>
      <c r="L49" s="9">
        <f>B$4*O49^B$5*EXP(-B$6/1.987/O49)</f>
        <v>48271057302442.148</v>
      </c>
      <c r="M49" s="6">
        <f t="shared" ref="M49:M59" si="52">$B$7*O49^$B$8*EXP(-$B$9/1.987/O49)</f>
        <v>8381455755030811</v>
      </c>
      <c r="N49" s="2">
        <f t="shared" ref="N49:N59" si="53">10000/O49</f>
        <v>33.333333333333336</v>
      </c>
      <c r="O49" s="12">
        <v>300</v>
      </c>
      <c r="P49" s="13"/>
      <c r="Q49" s="6">
        <f t="shared" ref="Q49:Q58" si="54">L49/(1+L49/M49/K49)*D49</f>
        <v>1754487069532.1895</v>
      </c>
      <c r="R49" s="6"/>
      <c r="S49" s="6"/>
      <c r="T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4:45" ht="15.75">
      <c r="D50" s="2">
        <f t="shared" si="46"/>
        <v>0.72191960173377567</v>
      </c>
      <c r="E50" s="2">
        <f t="shared" si="47"/>
        <v>-0.14151116595887031</v>
      </c>
      <c r="F50" s="2">
        <f t="shared" si="48"/>
        <v>-1.6976888656903415</v>
      </c>
      <c r="G50" s="6">
        <f t="shared" si="49"/>
        <v>2.9687680597740018E-2</v>
      </c>
      <c r="H50" s="2">
        <f t="shared" ref="H50:H59" si="55">-0.4-0.67*LOG(J50)</f>
        <v>-0.17026513459152323</v>
      </c>
      <c r="I50" s="2">
        <f t="shared" si="50"/>
        <v>1.18546758069965</v>
      </c>
      <c r="J50" s="4">
        <f t="shared" ref="J50:J61" si="56">(1-$B$10)*EXP(-O50/$B$11)+$B$10*EXP(-O50/$B$12)+EXP(-B$13/O50)</f>
        <v>0.45405884614340031</v>
      </c>
      <c r="K50" s="6">
        <f t="shared" si="51"/>
        <v>2.4374548953572288E-4</v>
      </c>
      <c r="L50" s="9">
        <f t="shared" ref="L50:L61" si="57">B$4*O50^B$5*EXP(-B$6/1.987/O50)</f>
        <v>51915144096005.555</v>
      </c>
      <c r="M50" s="6">
        <f t="shared" si="52"/>
        <v>6323153790634473</v>
      </c>
      <c r="N50" s="2">
        <f t="shared" si="53"/>
        <v>25</v>
      </c>
      <c r="O50" s="12">
        <v>400</v>
      </c>
      <c r="P50" s="13"/>
      <c r="Q50" s="6">
        <f t="shared" si="54"/>
        <v>1080571851012.8864</v>
      </c>
      <c r="R50" s="6"/>
      <c r="S50" s="6"/>
      <c r="T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4:45" ht="15.75">
      <c r="D51" s="37">
        <f t="shared" si="46"/>
        <v>0.75085320298092284</v>
      </c>
      <c r="E51" s="37">
        <f t="shared" si="47"/>
        <v>-0.1244449622861505</v>
      </c>
      <c r="F51" s="37">
        <f t="shared" si="48"/>
        <v>-1.9282830974455287</v>
      </c>
      <c r="G51" s="20">
        <f t="shared" si="49"/>
        <v>1.7457499454639768E-2</v>
      </c>
      <c r="H51" s="37">
        <f t="shared" si="55"/>
        <v>-0.17026513459152323</v>
      </c>
      <c r="I51" s="37">
        <f t="shared" si="50"/>
        <v>1.18546758069965</v>
      </c>
      <c r="J51" s="20">
        <f t="shared" si="56"/>
        <v>0.45405884614340031</v>
      </c>
      <c r="K51" s="20">
        <f t="shared" si="51"/>
        <v>1.949963916285783E-4</v>
      </c>
      <c r="L51" s="38">
        <f t="shared" si="57"/>
        <v>55914419404048.281</v>
      </c>
      <c r="M51" s="20">
        <f t="shared" si="52"/>
        <v>5005866714251614</v>
      </c>
      <c r="N51" s="37">
        <f t="shared" si="53"/>
        <v>20</v>
      </c>
      <c r="O51" s="39">
        <v>500</v>
      </c>
      <c r="P51" s="40"/>
      <c r="Q51" s="20">
        <f t="shared" si="54"/>
        <v>720351752922.80432</v>
      </c>
      <c r="R51" s="20">
        <f>0.0000000000012*6.02E+23</f>
        <v>722400000000</v>
      </c>
      <c r="S51" s="20">
        <f>(R51-Q51)^2/Q51^2</f>
        <v>8.084914899248252E-6</v>
      </c>
      <c r="T51" s="20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4:45" ht="15.75">
      <c r="D52" s="2">
        <f t="shared" si="46"/>
        <v>0.77204594304107699</v>
      </c>
      <c r="E52" s="2">
        <f t="shared" si="47"/>
        <v>-0.11235685482549154</v>
      </c>
      <c r="F52" s="2">
        <f t="shared" si="48"/>
        <v>-2.1240062824573704</v>
      </c>
      <c r="G52" s="6">
        <f t="shared" si="49"/>
        <v>1.1123945492149135E-2</v>
      </c>
      <c r="H52" s="2">
        <f t="shared" si="55"/>
        <v>-0.17026513459152323</v>
      </c>
      <c r="I52" s="2">
        <f t="shared" si="50"/>
        <v>1.18546758069965</v>
      </c>
      <c r="J52" s="4">
        <f t="shared" si="56"/>
        <v>0.45405884614340031</v>
      </c>
      <c r="K52" s="6">
        <f t="shared" si="51"/>
        <v>1.6249699302381526E-4</v>
      </c>
      <c r="L52" s="9">
        <f t="shared" si="57"/>
        <v>59954213423504.078</v>
      </c>
      <c r="M52" s="6">
        <f t="shared" si="52"/>
        <v>4104244575467262</v>
      </c>
      <c r="N52" s="2">
        <f t="shared" si="53"/>
        <v>16.666666666666668</v>
      </c>
      <c r="O52" s="12">
        <v>600</v>
      </c>
      <c r="P52" s="13"/>
      <c r="Q52" s="6">
        <f t="shared" si="54"/>
        <v>509233904929.88947</v>
      </c>
      <c r="R52" s="6"/>
      <c r="S52" s="6"/>
      <c r="T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4:45" ht="15.75">
      <c r="D53" s="2">
        <f t="shared" si="46"/>
        <v>0.78823499209850001</v>
      </c>
      <c r="E53" s="2">
        <f t="shared" si="47"/>
        <v>-0.10334428941717223</v>
      </c>
      <c r="F53" s="2">
        <f t="shared" si="48"/>
        <v>-2.2937416727015876</v>
      </c>
      <c r="G53" s="6">
        <f t="shared" si="49"/>
        <v>7.5252938296884748E-3</v>
      </c>
      <c r="H53" s="2">
        <f t="shared" si="55"/>
        <v>-0.17026513459152323</v>
      </c>
      <c r="I53" s="2">
        <f t="shared" si="50"/>
        <v>1.18546758069965</v>
      </c>
      <c r="J53" s="4">
        <f t="shared" si="56"/>
        <v>0.45405884614340031</v>
      </c>
      <c r="K53" s="6">
        <f t="shared" si="51"/>
        <v>1.3928313687755592E-4</v>
      </c>
      <c r="L53" s="9">
        <f t="shared" si="57"/>
        <v>63935043186733.742</v>
      </c>
      <c r="M53" s="6">
        <f t="shared" si="52"/>
        <v>3454330486661539.5</v>
      </c>
      <c r="N53" s="2">
        <f t="shared" si="53"/>
        <v>14.285714285714286</v>
      </c>
      <c r="O53" s="12">
        <v>700</v>
      </c>
      <c r="P53" s="13"/>
      <c r="Q53" s="6">
        <f t="shared" si="54"/>
        <v>376410888174.12268</v>
      </c>
      <c r="R53" s="6"/>
      <c r="S53" s="6"/>
      <c r="T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4:45" ht="15.75">
      <c r="D54" s="2">
        <f t="shared" si="46"/>
        <v>0.80102870785345326</v>
      </c>
      <c r="E54" s="2">
        <f t="shared" si="47"/>
        <v>-9.63519190731571E-2</v>
      </c>
      <c r="F54" s="2">
        <f t="shared" si="48"/>
        <v>-2.4434650663302602</v>
      </c>
      <c r="G54" s="6">
        <f t="shared" si="49"/>
        <v>5.3308942602628738E-3</v>
      </c>
      <c r="H54" s="2">
        <f t="shared" si="55"/>
        <v>-0.17026513459152323</v>
      </c>
      <c r="I54" s="2">
        <f t="shared" si="50"/>
        <v>1.18546758069965</v>
      </c>
      <c r="J54" s="4">
        <f t="shared" si="56"/>
        <v>0.45405884614340031</v>
      </c>
      <c r="K54" s="6">
        <f t="shared" si="51"/>
        <v>1.2187274476786144E-4</v>
      </c>
      <c r="L54" s="9">
        <f t="shared" si="57"/>
        <v>67823786331033.422</v>
      </c>
      <c r="M54" s="6">
        <f t="shared" si="52"/>
        <v>2966712811384449</v>
      </c>
      <c r="N54" s="2">
        <f t="shared" si="53"/>
        <v>12.5</v>
      </c>
      <c r="O54" s="12">
        <v>800</v>
      </c>
      <c r="P54" s="13"/>
      <c r="Q54" s="20">
        <f t="shared" si="54"/>
        <v>288085335234.95319</v>
      </c>
      <c r="R54" s="20"/>
      <c r="S54" s="6"/>
      <c r="T54" s="6"/>
    </row>
    <row r="55" spans="4:45" ht="15.75">
      <c r="D55" s="2">
        <f t="shared" si="46"/>
        <v>0.81141873155051869</v>
      </c>
      <c r="E55" s="2">
        <f t="shared" si="47"/>
        <v>-9.0754970855097913E-2</v>
      </c>
      <c r="F55" s="2">
        <f t="shared" si="48"/>
        <v>-2.5773417545399511</v>
      </c>
      <c r="G55" s="6">
        <f t="shared" si="49"/>
        <v>3.9167277055422696E-3</v>
      </c>
      <c r="H55" s="2">
        <f t="shared" si="55"/>
        <v>-0.17026513459152323</v>
      </c>
      <c r="I55" s="2">
        <f t="shared" si="50"/>
        <v>1.18546758069965</v>
      </c>
      <c r="J55" s="4">
        <f t="shared" si="56"/>
        <v>0.45405884614340031</v>
      </c>
      <c r="K55" s="6">
        <f t="shared" si="51"/>
        <v>1.0833132868254351E-4</v>
      </c>
      <c r="L55" s="9">
        <f t="shared" si="57"/>
        <v>71611384152110.969</v>
      </c>
      <c r="M55" s="6">
        <f t="shared" si="52"/>
        <v>2589115224117070.5</v>
      </c>
      <c r="N55" s="2">
        <f t="shared" si="53"/>
        <v>11.111111111111111</v>
      </c>
      <c r="O55" s="12">
        <v>900</v>
      </c>
      <c r="P55" s="13"/>
      <c r="Q55" s="20">
        <f t="shared" si="54"/>
        <v>226700661113.30939</v>
      </c>
      <c r="R55" s="20"/>
      <c r="S55" s="6"/>
      <c r="T55" s="6"/>
    </row>
    <row r="56" spans="4:45" ht="15.75">
      <c r="D56" s="2">
        <f t="shared" si="46"/>
        <v>0.82004546457651095</v>
      </c>
      <c r="E56" s="2">
        <f t="shared" si="47"/>
        <v>-8.6162068997571437E-2</v>
      </c>
      <c r="F56" s="2">
        <f t="shared" si="48"/>
        <v>-2.698375547869444</v>
      </c>
      <c r="G56" s="6">
        <f t="shared" si="49"/>
        <v>2.9640777185558306E-3</v>
      </c>
      <c r="H56" s="2">
        <f t="shared" si="55"/>
        <v>-0.17026513459152323</v>
      </c>
      <c r="I56" s="2">
        <f t="shared" si="50"/>
        <v>1.18546758069965</v>
      </c>
      <c r="J56" s="4">
        <f t="shared" si="56"/>
        <v>0.45405884614340031</v>
      </c>
      <c r="K56" s="6">
        <f t="shared" si="51"/>
        <v>9.7498195814289148E-5</v>
      </c>
      <c r="L56" s="9">
        <f t="shared" si="57"/>
        <v>75298240556451.203</v>
      </c>
      <c r="M56" s="6">
        <f t="shared" si="52"/>
        <v>2289168894006587.5</v>
      </c>
      <c r="N56" s="2">
        <f t="shared" si="53"/>
        <v>10</v>
      </c>
      <c r="O56" s="12">
        <v>1000</v>
      </c>
      <c r="P56" s="13"/>
      <c r="Q56" s="6">
        <f t="shared" si="54"/>
        <v>182484914168.82785</v>
      </c>
      <c r="R56" s="6"/>
    </row>
    <row r="57" spans="4:45" ht="15.75">
      <c r="D57" s="2">
        <f t="shared" si="46"/>
        <v>0.82733966294210637</v>
      </c>
      <c r="E57" s="2">
        <f t="shared" si="47"/>
        <v>-8.2316154949803086E-2</v>
      </c>
      <c r="F57" s="2">
        <f t="shared" si="48"/>
        <v>-2.8087979808859602</v>
      </c>
      <c r="G57" s="6">
        <f t="shared" si="49"/>
        <v>2.298619854879723E-3</v>
      </c>
      <c r="H57" s="2">
        <f t="shared" si="55"/>
        <v>-0.17026513459152323</v>
      </c>
      <c r="I57" s="2">
        <f t="shared" si="50"/>
        <v>1.18546758069965</v>
      </c>
      <c r="J57" s="4">
        <f t="shared" si="56"/>
        <v>0.45405884614340031</v>
      </c>
      <c r="K57" s="6">
        <f t="shared" si="51"/>
        <v>8.86347234675356E-5</v>
      </c>
      <c r="L57" s="9">
        <f t="shared" si="57"/>
        <v>78888524675193.109</v>
      </c>
      <c r="M57" s="6">
        <f t="shared" si="52"/>
        <v>2045865571036453.2</v>
      </c>
      <c r="N57" s="2">
        <f t="shared" si="53"/>
        <v>9.0909090909090917</v>
      </c>
      <c r="O57" s="12">
        <v>1100</v>
      </c>
      <c r="P57" s="13"/>
      <c r="Q57" s="6">
        <f t="shared" si="54"/>
        <v>149681353156.58453</v>
      </c>
      <c r="R57" s="6"/>
    </row>
    <row r="58" spans="4:45" ht="15.75">
      <c r="D58" s="2">
        <f t="shared" si="46"/>
        <v>0.83360137974285686</v>
      </c>
      <c r="E58" s="2">
        <f t="shared" si="47"/>
        <v>-7.9041575217519491E-2</v>
      </c>
      <c r="F58" s="2">
        <f t="shared" si="48"/>
        <v>-2.9103095660706164</v>
      </c>
      <c r="G58" s="6">
        <f t="shared" si="49"/>
        <v>1.819514699521413E-3</v>
      </c>
      <c r="H58" s="2">
        <f t="shared" si="55"/>
        <v>-0.17026513459152323</v>
      </c>
      <c r="I58" s="2">
        <f t="shared" si="50"/>
        <v>1.18546758069965</v>
      </c>
      <c r="J58" s="4">
        <f t="shared" si="56"/>
        <v>0.45405884614340031</v>
      </c>
      <c r="K58" s="6">
        <f t="shared" si="51"/>
        <v>8.124849651190763E-5</v>
      </c>
      <c r="L58" s="9">
        <f t="shared" si="57"/>
        <v>82387769635664.406</v>
      </c>
      <c r="M58" s="6">
        <f t="shared" si="52"/>
        <v>1845028084807765</v>
      </c>
      <c r="N58" s="2">
        <f t="shared" si="53"/>
        <v>8.3333333333333339</v>
      </c>
      <c r="O58" s="12">
        <v>1200</v>
      </c>
      <c r="P58" s="13"/>
      <c r="Q58" s="6">
        <f t="shared" si="54"/>
        <v>124734690025.52986</v>
      </c>
      <c r="R58" s="6"/>
    </row>
    <row r="59" spans="4:45" ht="15.75">
      <c r="D59" s="2">
        <f t="shared" si="46"/>
        <v>0.83904597983334583</v>
      </c>
      <c r="E59" s="2">
        <f t="shared" si="47"/>
        <v>-7.6214239122736185E-2</v>
      </c>
      <c r="F59" s="2">
        <f t="shared" si="48"/>
        <v>-3.0042346550121954</v>
      </c>
      <c r="G59" s="6">
        <f t="shared" si="49"/>
        <v>1.4656506993873705E-3</v>
      </c>
      <c r="H59" s="2">
        <f t="shared" si="55"/>
        <v>-0.17026513459152323</v>
      </c>
      <c r="I59" s="2">
        <f t="shared" si="50"/>
        <v>1.18546758069965</v>
      </c>
      <c r="J59" s="4">
        <f t="shared" si="56"/>
        <v>0.45405884614340031</v>
      </c>
      <c r="K59" s="6">
        <f t="shared" si="51"/>
        <v>7.4998612164837812E-5</v>
      </c>
      <c r="L59" s="9">
        <f t="shared" si="57"/>
        <v>85801817887422.609</v>
      </c>
      <c r="M59" s="6">
        <f t="shared" si="52"/>
        <v>1676770953027950.5</v>
      </c>
      <c r="N59" s="2">
        <f t="shared" si="53"/>
        <v>7.6923076923076925</v>
      </c>
      <c r="O59" s="12">
        <v>1300</v>
      </c>
      <c r="P59" s="13"/>
      <c r="Q59" s="6">
        <f>L59/(1+L59/M59/K59)*D59</f>
        <v>105360220733.21732</v>
      </c>
      <c r="R59" s="6"/>
    </row>
    <row r="60" spans="4:45" ht="15.75">
      <c r="D60" s="2">
        <f>10^E60</f>
        <v>0.8480791236781654</v>
      </c>
      <c r="E60" s="2">
        <f>LOG(J60)/(1+(F60/(I60-0.14*F60))^2)</f>
        <v>-7.156362725534389E-2</v>
      </c>
      <c r="F60" s="2">
        <f>LOG(G60)+H60</f>
        <v>-3.1733254642044653</v>
      </c>
      <c r="G60" s="6">
        <f>M60*K60/L60</f>
        <v>9.92978100212917E-4</v>
      </c>
      <c r="H60" s="2">
        <f>-0.4-0.67*LOG(J60)</f>
        <v>-0.17026513459152323</v>
      </c>
      <c r="I60" s="2">
        <f>0.75-1.27*LOG(J60)</f>
        <v>1.18546758069965</v>
      </c>
      <c r="J60" s="4">
        <f t="shared" si="56"/>
        <v>0.45405884614340031</v>
      </c>
      <c r="K60" s="6">
        <f>$P$48*101325/760/8.314/O60/1000000</f>
        <v>6.4998797209526099E-5</v>
      </c>
      <c r="L60" s="9">
        <f t="shared" si="57"/>
        <v>92396720595423.437</v>
      </c>
      <c r="M60" s="6">
        <f>$B$7*O60^$B$8*EXP(-$B$9/1.987/O60)</f>
        <v>1411532582472170.2</v>
      </c>
      <c r="N60" s="2">
        <f>10000/O60</f>
        <v>6.666666666666667</v>
      </c>
      <c r="O60" s="12">
        <v>1500</v>
      </c>
      <c r="P60" s="13"/>
      <c r="Q60" s="6">
        <f>L60/(1+L60/M60/K60)*D60</f>
        <v>77732309182.373566</v>
      </c>
      <c r="R60" s="6"/>
    </row>
    <row r="61" spans="4:45" ht="15.75">
      <c r="D61" s="2">
        <f>10^E61</f>
        <v>0.8584080697162535</v>
      </c>
      <c r="E61" s="2">
        <f>LOG(J61)/(1+(F61/(I61-0.14*F61))^2)</f>
        <v>-6.6306208310551035E-2</v>
      </c>
      <c r="F61" s="2">
        <f>LOG(G61)+H61</f>
        <v>-3.3906630934687478</v>
      </c>
      <c r="G61" s="6">
        <f>M61*K61/L61</f>
        <v>6.0200769302900983E-4</v>
      </c>
      <c r="H61" s="2">
        <f>-0.4-0.67*LOG(J61)</f>
        <v>-0.17026513459152323</v>
      </c>
      <c r="I61" s="2">
        <f>0.75-1.27*LOG(J61)</f>
        <v>1.18546758069965</v>
      </c>
      <c r="J61" s="4">
        <f t="shared" si="56"/>
        <v>0.45405884614340031</v>
      </c>
      <c r="K61" s="6">
        <f>$P$48*101325/760/8.314/O61/1000000</f>
        <v>5.4165664341271753E-5</v>
      </c>
      <c r="L61" s="9">
        <f t="shared" si="57"/>
        <v>101779852540394.17</v>
      </c>
      <c r="M61" s="6">
        <f>$B$7*O61^$B$8*EXP(-$B$9/1.987/O61)</f>
        <v>1131201010267843.2</v>
      </c>
      <c r="N61" s="2">
        <f>10000/O61</f>
        <v>5.5555555555555554</v>
      </c>
      <c r="O61" s="12">
        <v>1800</v>
      </c>
      <c r="P61" s="13"/>
      <c r="Q61" s="6">
        <f>L61/(1+L61/M61/K61)*D61</f>
        <v>52564952970.095558</v>
      </c>
      <c r="R61" s="6"/>
    </row>
    <row r="62" spans="4:45">
      <c r="D62" s="2" t="s">
        <v>4</v>
      </c>
      <c r="E62" s="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P62">
        <f>760*8.7</f>
        <v>6611.9999999999991</v>
      </c>
      <c r="Q62" t="s">
        <v>16</v>
      </c>
    </row>
    <row r="63" spans="4:45" ht="15.75">
      <c r="D63" s="37">
        <f t="shared" ref="D63:D73" si="58">10^E63</f>
        <v>0.67448162342207973</v>
      </c>
      <c r="E63" s="37">
        <f t="shared" ref="E63:E73" si="59">LOG(J63)/(1+(F63/(I63-0.14*F63))^2)</f>
        <v>-0.17102987839401473</v>
      </c>
      <c r="F63" s="37">
        <f t="shared" ref="F63:F73" si="60">LOG(G63)+H63</f>
        <v>-1.3823278991641035</v>
      </c>
      <c r="G63" s="20">
        <f t="shared" ref="G63:G73" si="61">M63*K63/L63</f>
        <v>6.1367331021699251E-2</v>
      </c>
      <c r="H63" s="37">
        <f>-0.4-0.67*LOG(J63)</f>
        <v>-0.17026513459152323</v>
      </c>
      <c r="I63" s="37">
        <f t="shared" ref="I63:I73" si="62">0.75-1.27*LOG(J63)</f>
        <v>1.18546758069965</v>
      </c>
      <c r="J63" s="20">
        <f>(1-$B$10)*EXP(-O63/$B$11)+$B$10*EXP(-O63/$B$12)+EXP(-B$13/O63)</f>
        <v>0.45405884614340031</v>
      </c>
      <c r="K63" s="20">
        <f t="shared" ref="K63:K73" si="63">$P$62*101325/760/8.314/O63/1000000</f>
        <v>3.5343095982679813E-4</v>
      </c>
      <c r="L63" s="38">
        <f>B$4*O63^B$5*EXP(-B$6/1.987/O63)</f>
        <v>48271057302442.148</v>
      </c>
      <c r="M63" s="20">
        <f t="shared" ref="M63:M73" si="64">$B$7*O63^$B$8*EXP(-$B$9/1.987/O63)</f>
        <v>8381455755030811</v>
      </c>
      <c r="N63" s="37">
        <f t="shared" ref="N63:N73" si="65">10000/O63</f>
        <v>33.333333333333336</v>
      </c>
      <c r="O63" s="39">
        <v>300</v>
      </c>
      <c r="P63" s="40"/>
      <c r="Q63" s="20">
        <f t="shared" ref="Q63:Q73" si="66">L63/(1+L63/M63/K63)*D63</f>
        <v>1882471685420.8916</v>
      </c>
      <c r="R63" s="20">
        <f>0.0000000000025*6.02E+23</f>
        <v>1505000000000</v>
      </c>
      <c r="S63" s="20">
        <f>(R63-Q63)^2/Q63^2</f>
        <v>4.0207942972475076E-2</v>
      </c>
      <c r="T63" s="20"/>
    </row>
    <row r="64" spans="4:45" ht="15.75">
      <c r="D64" s="2">
        <f t="shared" si="58"/>
        <v>0.71692019555607933</v>
      </c>
      <c r="E64" s="2">
        <f t="shared" si="59"/>
        <v>-0.14452918541808357</v>
      </c>
      <c r="F64" s="2">
        <f t="shared" si="60"/>
        <v>-1.6612596000636666</v>
      </c>
      <c r="G64" s="6">
        <f t="shared" si="61"/>
        <v>3.2285352650042266E-2</v>
      </c>
      <c r="H64" s="2">
        <f t="shared" ref="H64:H73" si="67">-0.4-0.67*LOG(J64)</f>
        <v>-0.17026513459152323</v>
      </c>
      <c r="I64" s="2">
        <f t="shared" si="62"/>
        <v>1.18546758069965</v>
      </c>
      <c r="J64" s="4">
        <f t="shared" ref="J64:J75" si="68">(1-$B$10)*EXP(-O64/$B$11)+$B$10*EXP(-O64/$B$12)+EXP(-B$13/O64)</f>
        <v>0.45405884614340031</v>
      </c>
      <c r="K64" s="6">
        <f t="shared" si="63"/>
        <v>2.6507321987009858E-4</v>
      </c>
      <c r="L64" s="9">
        <f t="shared" ref="L64:L75" si="69">B$4*O64^B$5*EXP(-B$6/1.987/O64)</f>
        <v>51915144096005.555</v>
      </c>
      <c r="M64" s="6">
        <f t="shared" si="64"/>
        <v>6323153790634473</v>
      </c>
      <c r="N64" s="2">
        <f t="shared" si="65"/>
        <v>25</v>
      </c>
      <c r="O64" s="12">
        <v>400</v>
      </c>
      <c r="P64" s="13"/>
      <c r="Q64" s="6">
        <f t="shared" si="66"/>
        <v>1164047353568.5886</v>
      </c>
      <c r="R64" s="6"/>
    </row>
    <row r="65" spans="4:20" ht="15.75">
      <c r="D65" s="2">
        <f t="shared" si="58"/>
        <v>0.74658126115693846</v>
      </c>
      <c r="E65" s="2">
        <f t="shared" si="59"/>
        <v>-0.12692291486279522</v>
      </c>
      <c r="F65" s="2">
        <f t="shared" si="60"/>
        <v>-1.8918538318188538</v>
      </c>
      <c r="G65" s="6">
        <f t="shared" si="61"/>
        <v>1.8985030656920747E-2</v>
      </c>
      <c r="H65" s="2">
        <f t="shared" si="67"/>
        <v>-0.17026513459152323</v>
      </c>
      <c r="I65" s="2">
        <f t="shared" si="62"/>
        <v>1.18546758069965</v>
      </c>
      <c r="J65" s="4">
        <f t="shared" si="68"/>
        <v>0.45405884614340031</v>
      </c>
      <c r="K65" s="6">
        <f t="shared" si="63"/>
        <v>2.1205857589607887E-4</v>
      </c>
      <c r="L65" s="9">
        <f t="shared" si="69"/>
        <v>55914419404048.281</v>
      </c>
      <c r="M65" s="6">
        <f t="shared" si="64"/>
        <v>5005866714251614</v>
      </c>
      <c r="N65" s="2">
        <f t="shared" si="65"/>
        <v>20</v>
      </c>
      <c r="O65" s="12">
        <v>500</v>
      </c>
      <c r="P65" s="13"/>
      <c r="Q65" s="6">
        <f t="shared" si="66"/>
        <v>777757850613.88086</v>
      </c>
      <c r="R65" s="6"/>
    </row>
    <row r="66" spans="4:20" ht="15.75">
      <c r="D66" s="2">
        <f t="shared" si="58"/>
        <v>0.76831636237050116</v>
      </c>
      <c r="E66" s="2">
        <f t="shared" si="59"/>
        <v>-0.11445991780559261</v>
      </c>
      <c r="F66" s="2">
        <f t="shared" si="60"/>
        <v>-2.0875770168306955</v>
      </c>
      <c r="G66" s="6">
        <f t="shared" si="61"/>
        <v>1.209729072271218E-2</v>
      </c>
      <c r="H66" s="2">
        <f t="shared" si="67"/>
        <v>-0.17026513459152323</v>
      </c>
      <c r="I66" s="2">
        <f t="shared" si="62"/>
        <v>1.18546758069965</v>
      </c>
      <c r="J66" s="4">
        <f t="shared" si="68"/>
        <v>0.45405884614340031</v>
      </c>
      <c r="K66" s="6">
        <f t="shared" si="63"/>
        <v>1.7671547991339906E-4</v>
      </c>
      <c r="L66" s="9">
        <f t="shared" si="69"/>
        <v>59954213423504.078</v>
      </c>
      <c r="M66" s="6">
        <f t="shared" si="64"/>
        <v>4104244575467262</v>
      </c>
      <c r="N66" s="2">
        <f t="shared" si="65"/>
        <v>16.666666666666668</v>
      </c>
      <c r="O66" s="12">
        <v>600</v>
      </c>
      <c r="P66" s="13"/>
      <c r="Q66" s="6">
        <f t="shared" si="66"/>
        <v>550586612378.91882</v>
      </c>
      <c r="R66" s="6"/>
    </row>
    <row r="67" spans="4:20" ht="15.75">
      <c r="D67" s="2">
        <f t="shared" si="58"/>
        <v>0.78491853701422909</v>
      </c>
      <c r="E67" s="2">
        <f t="shared" si="59"/>
        <v>-0.10517541428792185</v>
      </c>
      <c r="F67" s="2">
        <f t="shared" si="60"/>
        <v>-2.2573124070749127</v>
      </c>
      <c r="G67" s="6">
        <f t="shared" si="61"/>
        <v>8.1837570397862141E-3</v>
      </c>
      <c r="H67" s="2">
        <f t="shared" si="67"/>
        <v>-0.17026513459152323</v>
      </c>
      <c r="I67" s="2">
        <f t="shared" si="62"/>
        <v>1.18546758069965</v>
      </c>
      <c r="J67" s="4">
        <f t="shared" si="68"/>
        <v>0.45405884614340031</v>
      </c>
      <c r="K67" s="6">
        <f t="shared" si="63"/>
        <v>1.5147041135434204E-4</v>
      </c>
      <c r="L67" s="9">
        <f t="shared" si="69"/>
        <v>63935043186733.742</v>
      </c>
      <c r="M67" s="6">
        <f t="shared" si="64"/>
        <v>3454330486661539.5</v>
      </c>
      <c r="N67" s="2">
        <f t="shared" si="65"/>
        <v>14.285714285714286</v>
      </c>
      <c r="O67" s="12">
        <v>700</v>
      </c>
      <c r="P67" s="13"/>
      <c r="Q67" s="6">
        <f t="shared" si="66"/>
        <v>407358309698.37958</v>
      </c>
      <c r="R67" s="6"/>
    </row>
    <row r="68" spans="4:20" ht="15.75">
      <c r="D68" s="2">
        <f t="shared" si="58"/>
        <v>0.79803506640043564</v>
      </c>
      <c r="E68" s="2">
        <f t="shared" si="59"/>
        <v>-9.7978024927950852E-2</v>
      </c>
      <c r="F68" s="2">
        <f t="shared" si="60"/>
        <v>-2.4070358007035852</v>
      </c>
      <c r="G68" s="6">
        <f t="shared" si="61"/>
        <v>5.7973475080358742E-3</v>
      </c>
      <c r="H68" s="2">
        <f t="shared" si="67"/>
        <v>-0.17026513459152323</v>
      </c>
      <c r="I68" s="2">
        <f t="shared" si="62"/>
        <v>1.18546758069965</v>
      </c>
      <c r="J68" s="4">
        <f t="shared" si="68"/>
        <v>0.45405884614340031</v>
      </c>
      <c r="K68" s="6">
        <f t="shared" si="63"/>
        <v>1.3253660993504929E-4</v>
      </c>
      <c r="L68" s="9">
        <f t="shared" si="69"/>
        <v>67823786331033.422</v>
      </c>
      <c r="M68" s="6">
        <f t="shared" si="64"/>
        <v>2966712811384449</v>
      </c>
      <c r="N68" s="2">
        <f t="shared" si="65"/>
        <v>12.5</v>
      </c>
      <c r="O68" s="12">
        <v>800</v>
      </c>
      <c r="P68" s="13"/>
      <c r="Q68" s="6">
        <f t="shared" si="66"/>
        <v>311977198625.63538</v>
      </c>
      <c r="R68" s="6"/>
    </row>
    <row r="69" spans="4:20" ht="15.75">
      <c r="D69" s="2">
        <f t="shared" si="58"/>
        <v>0.80868339828893454</v>
      </c>
      <c r="E69" s="2">
        <f t="shared" si="59"/>
        <v>-9.2221472563322068E-2</v>
      </c>
      <c r="F69" s="2">
        <f t="shared" si="60"/>
        <v>-2.5409124889132761</v>
      </c>
      <c r="G69" s="6">
        <f t="shared" si="61"/>
        <v>4.2594413797772176E-3</v>
      </c>
      <c r="H69" s="2">
        <f t="shared" si="67"/>
        <v>-0.17026513459152323</v>
      </c>
      <c r="I69" s="2">
        <f t="shared" si="62"/>
        <v>1.18546758069965</v>
      </c>
      <c r="J69" s="4">
        <f t="shared" si="68"/>
        <v>0.45405884614340031</v>
      </c>
      <c r="K69" s="6">
        <f t="shared" si="63"/>
        <v>1.1781031994226604E-4</v>
      </c>
      <c r="L69" s="9">
        <f t="shared" si="69"/>
        <v>71611384152110.969</v>
      </c>
      <c r="M69" s="6">
        <f t="shared" si="64"/>
        <v>2589115224117070.5</v>
      </c>
      <c r="N69" s="2">
        <f t="shared" si="65"/>
        <v>11.111111111111111</v>
      </c>
      <c r="O69" s="12">
        <v>900</v>
      </c>
      <c r="P69" s="13"/>
      <c r="Q69" s="6">
        <f t="shared" si="66"/>
        <v>245622030854.40305</v>
      </c>
      <c r="R69" s="6"/>
    </row>
    <row r="70" spans="4:20" ht="15.75">
      <c r="D70" s="2">
        <f t="shared" si="58"/>
        <v>0.81752117170143124</v>
      </c>
      <c r="E70" s="2">
        <f t="shared" si="59"/>
        <v>-8.750099140890838E-2</v>
      </c>
      <c r="F70" s="2">
        <f t="shared" si="60"/>
        <v>-2.6619462822427691</v>
      </c>
      <c r="G70" s="6">
        <f t="shared" si="61"/>
        <v>3.2234345189294652E-3</v>
      </c>
      <c r="H70" s="2">
        <f t="shared" si="67"/>
        <v>-0.17026513459152323</v>
      </c>
      <c r="I70" s="2">
        <f t="shared" si="62"/>
        <v>1.18546758069965</v>
      </c>
      <c r="J70" s="4">
        <f t="shared" si="68"/>
        <v>0.45405884614340031</v>
      </c>
      <c r="K70" s="6">
        <f t="shared" si="63"/>
        <v>1.0602928794803943E-4</v>
      </c>
      <c r="L70" s="9">
        <f t="shared" si="69"/>
        <v>75298240556451.203</v>
      </c>
      <c r="M70" s="6">
        <f t="shared" si="64"/>
        <v>2289168894006587.5</v>
      </c>
      <c r="N70" s="2">
        <f t="shared" si="65"/>
        <v>10</v>
      </c>
      <c r="O70" s="12">
        <v>1000</v>
      </c>
      <c r="P70" s="13"/>
      <c r="Q70" s="6">
        <f t="shared" si="66"/>
        <v>197790314492.23199</v>
      </c>
      <c r="R70" s="6"/>
    </row>
    <row r="71" spans="4:20" ht="15.75">
      <c r="D71" s="2">
        <f t="shared" si="58"/>
        <v>0.82499091255246337</v>
      </c>
      <c r="E71" s="2">
        <f t="shared" si="59"/>
        <v>-8.3550835268324741E-2</v>
      </c>
      <c r="F71" s="2">
        <f t="shared" si="60"/>
        <v>-2.7723687152592853</v>
      </c>
      <c r="G71" s="6">
        <f t="shared" si="61"/>
        <v>2.4997490921816984E-3</v>
      </c>
      <c r="H71" s="2">
        <f t="shared" si="67"/>
        <v>-0.17026513459152323</v>
      </c>
      <c r="I71" s="2">
        <f t="shared" si="62"/>
        <v>1.18546758069965</v>
      </c>
      <c r="J71" s="4">
        <f t="shared" si="68"/>
        <v>0.45405884614340031</v>
      </c>
      <c r="K71" s="6">
        <f t="shared" si="63"/>
        <v>9.6390261770944944E-5</v>
      </c>
      <c r="L71" s="9">
        <f t="shared" si="69"/>
        <v>78888524675193.109</v>
      </c>
      <c r="M71" s="6">
        <f t="shared" si="64"/>
        <v>2045865571036453.2</v>
      </c>
      <c r="N71" s="2">
        <f t="shared" si="65"/>
        <v>9.0909090909090917</v>
      </c>
      <c r="O71" s="12">
        <v>1100</v>
      </c>
      <c r="P71" s="13"/>
      <c r="Q71" s="6">
        <f t="shared" si="66"/>
        <v>162283791481.922</v>
      </c>
      <c r="R71" s="6"/>
    </row>
    <row r="72" spans="4:20" ht="15.75">
      <c r="D72" s="2">
        <f t="shared" si="58"/>
        <v>0.83140091347635292</v>
      </c>
      <c r="E72" s="2">
        <f t="shared" si="59"/>
        <v>-8.0189502661748319E-2</v>
      </c>
      <c r="F72" s="2">
        <f t="shared" si="60"/>
        <v>-2.8738803004439415</v>
      </c>
      <c r="G72" s="6">
        <f t="shared" si="61"/>
        <v>1.9787222357295362E-3</v>
      </c>
      <c r="H72" s="2">
        <f t="shared" si="67"/>
        <v>-0.17026513459152323</v>
      </c>
      <c r="I72" s="2">
        <f t="shared" si="62"/>
        <v>1.18546758069965</v>
      </c>
      <c r="J72" s="4">
        <f t="shared" si="68"/>
        <v>0.45405884614340031</v>
      </c>
      <c r="K72" s="6">
        <f t="shared" si="63"/>
        <v>8.8357739956699532E-5</v>
      </c>
      <c r="L72" s="9">
        <f t="shared" si="69"/>
        <v>82387769635664.406</v>
      </c>
      <c r="M72" s="6">
        <f t="shared" si="64"/>
        <v>1845028084807765</v>
      </c>
      <c r="N72" s="2">
        <f t="shared" si="65"/>
        <v>8.3333333333333339</v>
      </c>
      <c r="O72" s="12">
        <v>1200</v>
      </c>
      <c r="P72" s="13"/>
      <c r="Q72" s="6">
        <f t="shared" si="66"/>
        <v>135269404591.06262</v>
      </c>
      <c r="R72" s="6"/>
    </row>
    <row r="73" spans="4:20" ht="15.75">
      <c r="D73" s="2">
        <f t="shared" si="58"/>
        <v>0.83697244893679723</v>
      </c>
      <c r="E73" s="2">
        <f t="shared" si="59"/>
        <v>-7.7288837671794966E-2</v>
      </c>
      <c r="F73" s="2">
        <f t="shared" si="60"/>
        <v>-2.9678053893855205</v>
      </c>
      <c r="G73" s="6">
        <f t="shared" si="61"/>
        <v>1.5938951355837653E-3</v>
      </c>
      <c r="H73" s="2">
        <f t="shared" si="67"/>
        <v>-0.17026513459152323</v>
      </c>
      <c r="I73" s="2">
        <f t="shared" si="62"/>
        <v>1.18546758069965</v>
      </c>
      <c r="J73" s="4">
        <f t="shared" si="68"/>
        <v>0.45405884614340031</v>
      </c>
      <c r="K73" s="6">
        <f t="shared" si="63"/>
        <v>8.1560990729261107E-5</v>
      </c>
      <c r="L73" s="9">
        <f t="shared" si="69"/>
        <v>85801817887422.609</v>
      </c>
      <c r="M73" s="6">
        <f t="shared" si="64"/>
        <v>1676770953027950.5</v>
      </c>
      <c r="N73" s="2">
        <f t="shared" si="65"/>
        <v>7.6923076923076925</v>
      </c>
      <c r="O73" s="12">
        <v>1300</v>
      </c>
      <c r="P73" s="13"/>
      <c r="Q73" s="6">
        <f t="shared" si="66"/>
        <v>114281446329.73648</v>
      </c>
      <c r="R73" s="6"/>
    </row>
    <row r="74" spans="4:20" ht="15.75">
      <c r="D74" s="2">
        <f>10^E74</f>
        <v>0.84621166462729691</v>
      </c>
      <c r="E74" s="2">
        <f>LOG(J74)/(1+(F74/(I74-0.14*F74))^2)</f>
        <v>-7.252099241957527E-2</v>
      </c>
      <c r="F74" s="2">
        <f>LOG(G74)+H74</f>
        <v>-3.1368961985777903</v>
      </c>
      <c r="G74" s="6">
        <f>M74*K74/L74</f>
        <v>1.0798636839815473E-3</v>
      </c>
      <c r="H74" s="2">
        <f>-0.4-0.67*LOG(J74)</f>
        <v>-0.17026513459152323</v>
      </c>
      <c r="I74" s="2">
        <f>0.75-1.27*LOG(J74)</f>
        <v>1.18546758069965</v>
      </c>
      <c r="J74" s="4">
        <f t="shared" si="68"/>
        <v>0.45405884614340031</v>
      </c>
      <c r="K74" s="6">
        <f>$P$62*101325/760/8.314/O74/1000000</f>
        <v>7.0686191965359631E-5</v>
      </c>
      <c r="L74" s="9">
        <f t="shared" si="69"/>
        <v>92396720595423.437</v>
      </c>
      <c r="M74" s="6">
        <f>$B$7*O74^$B$8*EXP(-$B$9/1.987/O74)</f>
        <v>1411532582472170.2</v>
      </c>
      <c r="N74" s="2">
        <f>10000/O74</f>
        <v>6.666666666666667</v>
      </c>
      <c r="O74" s="12">
        <v>1500</v>
      </c>
      <c r="P74" s="13"/>
      <c r="Q74" s="6">
        <f>L74/(1+L74/M74/K74)*D74</f>
        <v>84340423035.076492</v>
      </c>
      <c r="R74" s="6"/>
    </row>
    <row r="75" spans="4:20" ht="15.75">
      <c r="D75" s="2">
        <f>10^E75</f>
        <v>0.85676853111945117</v>
      </c>
      <c r="E75" s="2">
        <f>LOG(J75)/(1+(F75/(I75-0.14*F75))^2)</f>
        <v>-6.7136493404211101E-2</v>
      </c>
      <c r="F75" s="2">
        <f>LOG(G75)+H75</f>
        <v>-3.3542338278420729</v>
      </c>
      <c r="G75" s="6">
        <f>M75*K75/L75</f>
        <v>6.5468336616904808E-4</v>
      </c>
      <c r="H75" s="2">
        <f>-0.4-0.67*LOG(J75)</f>
        <v>-0.17026513459152323</v>
      </c>
      <c r="I75" s="2">
        <f>0.75-1.27*LOG(J75)</f>
        <v>1.18546758069965</v>
      </c>
      <c r="J75" s="4">
        <f t="shared" si="68"/>
        <v>0.45405884614340031</v>
      </c>
      <c r="K75" s="6">
        <f>$P$62*101325/760/8.314/O75/1000000</f>
        <v>5.8905159971133019E-5</v>
      </c>
      <c r="L75" s="9">
        <f t="shared" si="69"/>
        <v>101779852540394.17</v>
      </c>
      <c r="M75" s="6">
        <f>$B$7*O75^$B$8*EXP(-$B$9/1.987/O75)</f>
        <v>1131201010267843.2</v>
      </c>
      <c r="N75" s="2">
        <f>10000/O75</f>
        <v>5.5555555555555554</v>
      </c>
      <c r="O75" s="12">
        <v>1800</v>
      </c>
      <c r="P75" s="13"/>
      <c r="Q75" s="6">
        <f>L75/(1+L75/M75/K75)*D75</f>
        <v>57052200308.322227</v>
      </c>
      <c r="R75" s="6"/>
    </row>
    <row r="76" spans="4:20">
      <c r="D76" s="2" t="s">
        <v>4</v>
      </c>
      <c r="E76" s="2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13</v>
      </c>
      <c r="N76" s="2" t="s">
        <v>14</v>
      </c>
      <c r="P76">
        <f>760*10</f>
        <v>7600</v>
      </c>
      <c r="Q76" s="6" t="s">
        <v>16</v>
      </c>
    </row>
    <row r="77" spans="4:20" ht="15.75">
      <c r="D77" s="2">
        <f t="shared" ref="D77:D87" si="70">10^E77</f>
        <v>0.66429130334304309</v>
      </c>
      <c r="E77" s="2">
        <f t="shared" ref="E77:E87" si="71">LOG(J77)/(1+(F77/(I77-0.14*F77))^2)</f>
        <v>-0.17764143314455649</v>
      </c>
      <c r="F77" s="2">
        <f t="shared" ref="F77:F87" si="72">LOG(G77)+H77</f>
        <v>-1.3218471517827219</v>
      </c>
      <c r="G77" s="6">
        <f t="shared" ref="G77:G87" si="73">M77*K77/L77</f>
        <v>7.0537162093907202E-2</v>
      </c>
      <c r="H77" s="2">
        <f>-0.4-0.67*LOG(J77)</f>
        <v>-0.17026513459152323</v>
      </c>
      <c r="I77" s="2">
        <f t="shared" ref="I77:I87" si="74">0.75-1.27*LOG(J77)</f>
        <v>1.18546758069965</v>
      </c>
      <c r="J77" s="4">
        <f>(1-$B$10)*EXP(-O77/$B$11)+$B$10*EXP(-O77/$B$12)+EXP(-B$13/O77)</f>
        <v>0.45405884614340031</v>
      </c>
      <c r="K77" s="6">
        <f t="shared" ref="K77:K87" si="75">$P$76*101325/760/8.314/O77/1000000</f>
        <v>4.0624248255953814E-4</v>
      </c>
      <c r="L77" s="9">
        <f>B$4*O77^B$5*EXP(-B$6/1.987/O77)</f>
        <v>48271057302442.148</v>
      </c>
      <c r="M77" s="6">
        <f t="shared" ref="M77:M87" si="76">$B$7*O77^$B$8*EXP(-$B$9/1.987/O77)</f>
        <v>8381455755030811</v>
      </c>
      <c r="N77" s="2">
        <f t="shared" ref="N77:N87" si="77">10000/O77</f>
        <v>33.333333333333336</v>
      </c>
      <c r="O77" s="12">
        <v>300</v>
      </c>
      <c r="P77" s="13"/>
      <c r="Q77" s="6">
        <f t="shared" ref="Q77:Q87" si="78">L77/(1+L77/M77/K77)*D77</f>
        <v>2112815690140.0081</v>
      </c>
      <c r="R77" s="6"/>
    </row>
    <row r="78" spans="4:20" ht="15.75">
      <c r="D78" s="2">
        <f t="shared" si="70"/>
        <v>0.70834858759013508</v>
      </c>
      <c r="E78" s="2">
        <f t="shared" si="71"/>
        <v>-0.14975296771937274</v>
      </c>
      <c r="F78" s="2">
        <f t="shared" si="72"/>
        <v>-1.600778852682285</v>
      </c>
      <c r="G78" s="6">
        <f t="shared" si="73"/>
        <v>3.7109600747175023E-2</v>
      </c>
      <c r="H78" s="2">
        <f t="shared" ref="H78:H87" si="79">-0.4-0.67*LOG(J78)</f>
        <v>-0.17026513459152323</v>
      </c>
      <c r="I78" s="2">
        <f t="shared" si="74"/>
        <v>1.18546758069965</v>
      </c>
      <c r="J78" s="4">
        <f t="shared" ref="J78:J89" si="80">(1-$B$10)*EXP(-O78/$B$11)+$B$10*EXP(-O78/$B$12)+EXP(-B$13/O78)</f>
        <v>0.45405884614340031</v>
      </c>
      <c r="K78" s="6">
        <f t="shared" si="75"/>
        <v>3.046818619196536E-4</v>
      </c>
      <c r="L78" s="9">
        <f t="shared" ref="L78:L89" si="81">B$4*O78^B$5*EXP(-B$6/1.987/O78)</f>
        <v>51915144096005.555</v>
      </c>
      <c r="M78" s="6">
        <f t="shared" si="76"/>
        <v>6323153790634473</v>
      </c>
      <c r="N78" s="2">
        <f t="shared" si="77"/>
        <v>25</v>
      </c>
      <c r="O78" s="12">
        <v>400</v>
      </c>
      <c r="P78" s="13"/>
      <c r="Q78" s="20">
        <f t="shared" si="78"/>
        <v>1315838906310.6113</v>
      </c>
      <c r="R78" s="20"/>
      <c r="S78" s="6"/>
      <c r="T78" s="6"/>
    </row>
    <row r="79" spans="4:20" ht="15.75">
      <c r="D79" s="2">
        <f t="shared" si="70"/>
        <v>0.73924743893354417</v>
      </c>
      <c r="E79" s="2">
        <f t="shared" si="71"/>
        <v>-0.13121017137939797</v>
      </c>
      <c r="F79" s="2">
        <f t="shared" si="72"/>
        <v>-1.831373084437472</v>
      </c>
      <c r="G79" s="6">
        <f t="shared" si="73"/>
        <v>2.1821874318299714E-2</v>
      </c>
      <c r="H79" s="2">
        <f t="shared" si="79"/>
        <v>-0.17026513459152323</v>
      </c>
      <c r="I79" s="2">
        <f t="shared" si="74"/>
        <v>1.18546758069965</v>
      </c>
      <c r="J79" s="4">
        <f t="shared" si="80"/>
        <v>0.45405884614340031</v>
      </c>
      <c r="K79" s="6">
        <f t="shared" si="75"/>
        <v>2.4374548953572288E-4</v>
      </c>
      <c r="L79" s="9">
        <f t="shared" si="81"/>
        <v>55914419404048.281</v>
      </c>
      <c r="M79" s="6">
        <f t="shared" si="76"/>
        <v>5005866714251614</v>
      </c>
      <c r="N79" s="2">
        <f t="shared" si="77"/>
        <v>20</v>
      </c>
      <c r="O79" s="12">
        <v>500</v>
      </c>
      <c r="P79" s="13"/>
      <c r="Q79" s="6">
        <f t="shared" si="78"/>
        <v>882735318136.14648</v>
      </c>
      <c r="R79" s="6"/>
    </row>
    <row r="80" spans="4:20" ht="15.75">
      <c r="D80" s="37">
        <f t="shared" si="70"/>
        <v>0.76191226820270652</v>
      </c>
      <c r="E80" s="37">
        <f t="shared" si="71"/>
        <v>-0.11809503342286394</v>
      </c>
      <c r="F80" s="37">
        <f t="shared" si="72"/>
        <v>-2.0270962694493142</v>
      </c>
      <c r="G80" s="20">
        <f t="shared" si="73"/>
        <v>1.3904931865186416E-2</v>
      </c>
      <c r="H80" s="37">
        <f t="shared" si="79"/>
        <v>-0.17026513459152323</v>
      </c>
      <c r="I80" s="37">
        <f t="shared" si="74"/>
        <v>1.18546758069965</v>
      </c>
      <c r="J80" s="20">
        <f t="shared" si="80"/>
        <v>0.45405884614340031</v>
      </c>
      <c r="K80" s="20">
        <f t="shared" si="75"/>
        <v>2.0312124127976907E-4</v>
      </c>
      <c r="L80" s="38">
        <f t="shared" si="81"/>
        <v>59954213423504.078</v>
      </c>
      <c r="M80" s="20">
        <f t="shared" si="76"/>
        <v>4104244575467262</v>
      </c>
      <c r="N80" s="37">
        <f t="shared" si="77"/>
        <v>16.666666666666668</v>
      </c>
      <c r="O80" s="39">
        <v>600</v>
      </c>
      <c r="P80" s="40"/>
      <c r="Q80" s="20">
        <f t="shared" si="78"/>
        <v>626464269142.74585</v>
      </c>
      <c r="R80" s="20">
        <f>0.0000000000011*6.02E+23</f>
        <v>662200000000</v>
      </c>
      <c r="S80" s="20">
        <f>(R80-Q80)^2/Q80^2</f>
        <v>3.2539638644020034E-3</v>
      </c>
      <c r="T80" s="20"/>
    </row>
    <row r="81" spans="4:20" ht="15.75">
      <c r="D81" s="2">
        <f t="shared" si="70"/>
        <v>0.77922514294693401</v>
      </c>
      <c r="E81" s="2">
        <f t="shared" si="71"/>
        <v>-0.10833704269650495</v>
      </c>
      <c r="F81" s="2">
        <f t="shared" si="72"/>
        <v>-2.1968316596935309</v>
      </c>
      <c r="G81" s="6">
        <f t="shared" si="73"/>
        <v>9.406617287110593E-3</v>
      </c>
      <c r="H81" s="2">
        <f t="shared" si="79"/>
        <v>-0.17026513459152323</v>
      </c>
      <c r="I81" s="2">
        <f t="shared" si="74"/>
        <v>1.18546758069965</v>
      </c>
      <c r="J81" s="4">
        <f t="shared" si="80"/>
        <v>0.45405884614340031</v>
      </c>
      <c r="K81" s="6">
        <f t="shared" si="75"/>
        <v>1.7410392109694489E-4</v>
      </c>
      <c r="L81" s="9">
        <f t="shared" si="81"/>
        <v>63935043186733.742</v>
      </c>
      <c r="M81" s="6">
        <f t="shared" si="76"/>
        <v>3454330486661539.5</v>
      </c>
      <c r="N81" s="2">
        <f t="shared" si="77"/>
        <v>14.285714285714286</v>
      </c>
      <c r="O81" s="12">
        <v>700</v>
      </c>
      <c r="P81" s="13"/>
      <c r="Q81" s="6">
        <f t="shared" si="78"/>
        <v>464268531248.38013</v>
      </c>
      <c r="R81" s="6"/>
    </row>
    <row r="82" spans="4:20" ht="15.75">
      <c r="D82" s="2">
        <f t="shared" si="70"/>
        <v>0.79289799832456187</v>
      </c>
      <c r="E82" s="2">
        <f t="shared" si="71"/>
        <v>-0.10078267852609553</v>
      </c>
      <c r="F82" s="2">
        <f t="shared" si="72"/>
        <v>-2.3465550533222035</v>
      </c>
      <c r="G82" s="6">
        <f t="shared" si="73"/>
        <v>6.6636178253285921E-3</v>
      </c>
      <c r="H82" s="2">
        <f t="shared" si="79"/>
        <v>-0.17026513459152323</v>
      </c>
      <c r="I82" s="2">
        <f t="shared" si="74"/>
        <v>1.18546758069965</v>
      </c>
      <c r="J82" s="4">
        <f t="shared" si="80"/>
        <v>0.45405884614340031</v>
      </c>
      <c r="K82" s="6">
        <f t="shared" si="75"/>
        <v>1.523409309598268E-4</v>
      </c>
      <c r="L82" s="9">
        <f t="shared" si="81"/>
        <v>67823786331033.422</v>
      </c>
      <c r="M82" s="6">
        <f t="shared" si="76"/>
        <v>2966712811384449</v>
      </c>
      <c r="N82" s="2">
        <f t="shared" si="77"/>
        <v>12.5</v>
      </c>
      <c r="O82" s="12">
        <v>800</v>
      </c>
      <c r="P82" s="13"/>
      <c r="Q82" s="6">
        <f t="shared" si="78"/>
        <v>355979559144.63745</v>
      </c>
      <c r="R82" s="6"/>
    </row>
    <row r="83" spans="4:20" ht="15.75">
      <c r="D83" s="2">
        <f t="shared" si="70"/>
        <v>0.80399188645866093</v>
      </c>
      <c r="E83" s="2">
        <f t="shared" si="71"/>
        <v>-9.4748333943105723E-2</v>
      </c>
      <c r="F83" s="2">
        <f t="shared" si="72"/>
        <v>-2.4804317415318944</v>
      </c>
      <c r="G83" s="6">
        <f t="shared" si="73"/>
        <v>4.8959096319278368E-3</v>
      </c>
      <c r="H83" s="2">
        <f t="shared" si="79"/>
        <v>-0.17026513459152323</v>
      </c>
      <c r="I83" s="2">
        <f t="shared" si="74"/>
        <v>1.18546758069965</v>
      </c>
      <c r="J83" s="4">
        <f t="shared" si="80"/>
        <v>0.45405884614340031</v>
      </c>
      <c r="K83" s="6">
        <f t="shared" si="75"/>
        <v>1.3541416085317937E-4</v>
      </c>
      <c r="L83" s="9">
        <f t="shared" si="81"/>
        <v>71611384152110.969</v>
      </c>
      <c r="M83" s="6">
        <f t="shared" si="76"/>
        <v>2589115224117070.5</v>
      </c>
      <c r="N83" s="2">
        <f t="shared" si="77"/>
        <v>11.111111111111111</v>
      </c>
      <c r="O83" s="12">
        <v>900</v>
      </c>
      <c r="P83" s="13"/>
      <c r="Q83" s="6">
        <f t="shared" si="78"/>
        <v>280508514832.06134</v>
      </c>
      <c r="R83" s="6"/>
    </row>
    <row r="84" spans="4:20" ht="15.75">
      <c r="D84" s="26">
        <f t="shared" si="70"/>
        <v>0.81319383134759571</v>
      </c>
      <c r="E84" s="26">
        <f t="shared" si="71"/>
        <v>-8.9805924453405073E-2</v>
      </c>
      <c r="F84" s="26">
        <f t="shared" si="72"/>
        <v>-2.6014655348613878</v>
      </c>
      <c r="G84" s="27">
        <f t="shared" si="73"/>
        <v>3.7050971481947881E-3</v>
      </c>
      <c r="H84" s="26">
        <f t="shared" si="79"/>
        <v>-0.17026513459152323</v>
      </c>
      <c r="I84" s="26">
        <f t="shared" si="74"/>
        <v>1.18546758069965</v>
      </c>
      <c r="J84" s="31">
        <f t="shared" si="80"/>
        <v>0.45405884614340031</v>
      </c>
      <c r="K84" s="6">
        <f t="shared" si="75"/>
        <v>1.2187274476786144E-4</v>
      </c>
      <c r="L84" s="28">
        <f t="shared" si="81"/>
        <v>75298240556451.203</v>
      </c>
      <c r="M84" s="27">
        <f t="shared" si="76"/>
        <v>2289168894006587.5</v>
      </c>
      <c r="N84" s="26">
        <f t="shared" si="77"/>
        <v>10</v>
      </c>
      <c r="O84" s="29">
        <v>1000</v>
      </c>
      <c r="P84" s="30"/>
      <c r="Q84" s="27">
        <f t="shared" si="78"/>
        <v>226033273180.13797</v>
      </c>
      <c r="R84" s="27"/>
      <c r="S84" s="27"/>
      <c r="T84" s="27"/>
    </row>
    <row r="85" spans="4:20" ht="15.75">
      <c r="D85" s="2">
        <f t="shared" si="70"/>
        <v>0.8209665267306463</v>
      </c>
      <c r="E85" s="2">
        <f t="shared" si="71"/>
        <v>-8.5674550009099196E-2</v>
      </c>
      <c r="F85" s="2">
        <f t="shared" si="72"/>
        <v>-2.711887967877904</v>
      </c>
      <c r="G85" s="6">
        <f t="shared" si="73"/>
        <v>2.8732748185996541E-3</v>
      </c>
      <c r="H85" s="2">
        <f t="shared" si="79"/>
        <v>-0.17026513459152323</v>
      </c>
      <c r="I85" s="2">
        <f t="shared" si="74"/>
        <v>1.18546758069965</v>
      </c>
      <c r="J85" s="4">
        <f t="shared" si="80"/>
        <v>0.45405884614340031</v>
      </c>
      <c r="K85" s="6">
        <f t="shared" si="75"/>
        <v>1.107934043344195E-4</v>
      </c>
      <c r="L85" s="9">
        <f t="shared" si="81"/>
        <v>78888524675193.109</v>
      </c>
      <c r="M85" s="6">
        <f t="shared" si="76"/>
        <v>2045865571036453.2</v>
      </c>
      <c r="N85" s="2">
        <f t="shared" si="77"/>
        <v>9.0909090909090917</v>
      </c>
      <c r="O85" s="12">
        <v>1100</v>
      </c>
      <c r="P85" s="13"/>
      <c r="Q85" s="6">
        <f t="shared" si="78"/>
        <v>185554030723.74988</v>
      </c>
      <c r="R85" s="6"/>
    </row>
    <row r="86" spans="4:20" ht="15.75">
      <c r="D86" s="2">
        <f t="shared" si="70"/>
        <v>0.82763242912489754</v>
      </c>
      <c r="E86" s="2">
        <f t="shared" si="71"/>
        <v>-8.2162500710423705E-2</v>
      </c>
      <c r="F86" s="2">
        <f t="shared" si="72"/>
        <v>-2.8133995530625597</v>
      </c>
      <c r="G86" s="6">
        <f t="shared" si="73"/>
        <v>2.2743933744017661E-3</v>
      </c>
      <c r="H86" s="2">
        <f t="shared" si="79"/>
        <v>-0.17026513459152323</v>
      </c>
      <c r="I86" s="2">
        <f t="shared" si="74"/>
        <v>1.18546758069965</v>
      </c>
      <c r="J86" s="4">
        <f t="shared" si="80"/>
        <v>0.45405884614340031</v>
      </c>
      <c r="K86" s="6">
        <f t="shared" si="75"/>
        <v>1.0156062063988453E-4</v>
      </c>
      <c r="L86" s="9">
        <f t="shared" si="81"/>
        <v>82387769635664.406</v>
      </c>
      <c r="M86" s="6">
        <f t="shared" si="76"/>
        <v>1845028084807765</v>
      </c>
      <c r="N86" s="2">
        <f t="shared" si="77"/>
        <v>8.3333333333333339</v>
      </c>
      <c r="O86" s="12">
        <v>1200</v>
      </c>
      <c r="P86" s="13"/>
      <c r="Q86" s="6">
        <f t="shared" si="78"/>
        <v>154731662533.47598</v>
      </c>
      <c r="R86" s="6"/>
    </row>
    <row r="87" spans="4:20" ht="15.75">
      <c r="D87" s="2">
        <f t="shared" si="70"/>
        <v>0.83342299286098431</v>
      </c>
      <c r="E87" s="2">
        <f t="shared" si="71"/>
        <v>-7.9134522195392173E-2</v>
      </c>
      <c r="F87" s="2">
        <f t="shared" si="72"/>
        <v>-2.9073246420041392</v>
      </c>
      <c r="G87" s="6">
        <f t="shared" si="73"/>
        <v>1.8320633742342132E-3</v>
      </c>
      <c r="H87" s="2">
        <f t="shared" si="79"/>
        <v>-0.17026513459152323</v>
      </c>
      <c r="I87" s="2">
        <f t="shared" si="74"/>
        <v>1.18546758069965</v>
      </c>
      <c r="J87" s="4">
        <f t="shared" si="80"/>
        <v>0.45405884614340031</v>
      </c>
      <c r="K87" s="6">
        <f t="shared" si="75"/>
        <v>9.3748265206047265E-5</v>
      </c>
      <c r="L87" s="9">
        <f t="shared" si="81"/>
        <v>85801817887422.609</v>
      </c>
      <c r="M87" s="6">
        <f t="shared" si="76"/>
        <v>1676770953027950.5</v>
      </c>
      <c r="N87" s="2">
        <f t="shared" si="77"/>
        <v>7.6923076923076925</v>
      </c>
      <c r="O87" s="12">
        <v>1300</v>
      </c>
      <c r="P87" s="13"/>
      <c r="Q87" s="6">
        <f t="shared" si="78"/>
        <v>130769822033.26558</v>
      </c>
      <c r="R87" s="6"/>
    </row>
    <row r="88" spans="4:20" ht="15.75">
      <c r="D88" s="2">
        <f>10^E88</f>
        <v>0.8430176771235226</v>
      </c>
      <c r="E88" s="2">
        <f>LOG(J88)/(1+(F88/(I88-0.14*F88))^2)</f>
        <v>-7.416331861759283E-2</v>
      </c>
      <c r="F88" s="2">
        <f>LOG(G88)+H88</f>
        <v>-3.0764154511964086</v>
      </c>
      <c r="G88" s="6">
        <f>M88*K88/L88</f>
        <v>1.2412226252661463E-3</v>
      </c>
      <c r="H88" s="2">
        <f>-0.4-0.67*LOG(J88)</f>
        <v>-0.17026513459152323</v>
      </c>
      <c r="I88" s="2">
        <f>0.75-1.27*LOG(J88)</f>
        <v>1.18546758069965</v>
      </c>
      <c r="J88" s="4">
        <f t="shared" si="80"/>
        <v>0.45405884614340031</v>
      </c>
      <c r="K88" s="6">
        <f>$P$76*101325/760/8.314/O88/1000000</f>
        <v>8.124849651190763E-5</v>
      </c>
      <c r="L88" s="9">
        <f t="shared" si="81"/>
        <v>92396720595423.437</v>
      </c>
      <c r="M88" s="6">
        <f>$B$7*O88^$B$8*EXP(-$B$9/1.987/O88)</f>
        <v>1411532582472170.2</v>
      </c>
      <c r="N88" s="2">
        <f>10000/O88</f>
        <v>6.666666666666667</v>
      </c>
      <c r="O88" s="12">
        <v>1500</v>
      </c>
      <c r="P88" s="13"/>
      <c r="Q88" s="6">
        <f>L88/(1+L88/M88/K88)*D88</f>
        <v>96561543713.552353</v>
      </c>
      <c r="R88" s="6"/>
    </row>
    <row r="89" spans="4:20" ht="15.75">
      <c r="D89" s="2">
        <f>10^E89</f>
        <v>0.85396745157640219</v>
      </c>
      <c r="E89" s="2">
        <f>LOG(J89)/(1+(F89/(I89-0.14*F89))^2)</f>
        <v>-6.8558681852147654E-2</v>
      </c>
      <c r="F89" s="2">
        <f>LOG(G89)+H89</f>
        <v>-3.2937530804606916</v>
      </c>
      <c r="G89" s="6">
        <f>M89*K89/L89</f>
        <v>7.525096162862621E-4</v>
      </c>
      <c r="H89" s="2">
        <f>-0.4-0.67*LOG(J89)</f>
        <v>-0.17026513459152323</v>
      </c>
      <c r="I89" s="2">
        <f>0.75-1.27*LOG(J89)</f>
        <v>1.18546758069965</v>
      </c>
      <c r="J89" s="4">
        <f t="shared" si="80"/>
        <v>0.45405884614340031</v>
      </c>
      <c r="K89" s="6">
        <f>$P$76*101325/760/8.314/O89/1000000</f>
        <v>6.7707080426589685E-5</v>
      </c>
      <c r="L89" s="9">
        <f t="shared" si="81"/>
        <v>101779852540394.17</v>
      </c>
      <c r="M89" s="6">
        <f>$B$7*O89^$B$8*EXP(-$B$9/1.987/O89)</f>
        <v>1131201010267843.2</v>
      </c>
      <c r="N89" s="2">
        <f>10000/O89</f>
        <v>5.5555555555555554</v>
      </c>
      <c r="O89" s="12">
        <v>1800</v>
      </c>
      <c r="P89" s="13"/>
      <c r="Q89" s="6">
        <f>L89/(1+L89/M89/K89)*D89</f>
        <v>65356457128.259056</v>
      </c>
      <c r="R89" s="6"/>
    </row>
    <row r="90" spans="4:20">
      <c r="D90" s="2" t="s">
        <v>4</v>
      </c>
      <c r="E90" s="2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s="2" t="s">
        <v>14</v>
      </c>
      <c r="P90">
        <f>760*11</f>
        <v>8360</v>
      </c>
      <c r="Q90" s="6" t="s">
        <v>16</v>
      </c>
    </row>
    <row r="91" spans="4:20" ht="15.75">
      <c r="D91" s="2">
        <f t="shared" ref="D91:D101" si="82">10^E91</f>
        <v>0.65711683819229072</v>
      </c>
      <c r="E91" s="2">
        <f t="shared" ref="E91:E101" si="83">LOG(J91)/(1+(F91/(I91-0.14*F91))^2)</f>
        <v>-0.18235740415280491</v>
      </c>
      <c r="F91" s="2">
        <f t="shared" ref="F91:F101" si="84">LOG(G91)+H91</f>
        <v>-1.2804544666244968</v>
      </c>
      <c r="G91" s="6">
        <f t="shared" ref="G91:G101" si="85">M91*K91/L91</f>
        <v>7.759087830329793E-2</v>
      </c>
      <c r="H91" s="2">
        <f>-0.4-0.67*LOG(J91)</f>
        <v>-0.17026513459152323</v>
      </c>
      <c r="I91" s="2">
        <f t="shared" ref="I91:I101" si="86">0.75-1.27*LOG(J91)</f>
        <v>1.18546758069965</v>
      </c>
      <c r="J91" s="4">
        <f>(1-$B$10)*EXP(-O91/$B$11)+$B$10*EXP(-O91/$B$12)+EXP(-B$13/O91)</f>
        <v>0.45405884614340031</v>
      </c>
      <c r="K91" s="6">
        <f>$P$90*101325/760/8.314/O91/1000000</f>
        <v>4.4686673081549197E-4</v>
      </c>
      <c r="L91" s="9">
        <f>B$4*O91^B$5*EXP(-B$6/1.987/O91)</f>
        <v>48271057302442.148</v>
      </c>
      <c r="M91" s="6">
        <f t="shared" ref="M91:M101" si="87">$B$7*O91^$B$8*EXP(-$B$9/1.987/O91)</f>
        <v>8381455755030811</v>
      </c>
      <c r="N91" s="2">
        <f t="shared" ref="N91:N101" si="88">10000/O91</f>
        <v>33.333333333333336</v>
      </c>
      <c r="O91" s="12">
        <v>300</v>
      </c>
      <c r="P91" s="13"/>
      <c r="Q91" s="6">
        <f t="shared" ref="Q91:Q101" si="89">L91/(1+L91/M91/K91)*D91</f>
        <v>2283947773675.3447</v>
      </c>
      <c r="R91" s="6"/>
    </row>
    <row r="92" spans="4:20" ht="15.75">
      <c r="D92" s="37">
        <f t="shared" si="82"/>
        <v>0.7022836992861845</v>
      </c>
      <c r="E92" s="37">
        <f t="shared" si="83"/>
        <v>-0.15348741188019549</v>
      </c>
      <c r="F92" s="37">
        <f t="shared" si="84"/>
        <v>-1.5593861675240601</v>
      </c>
      <c r="G92" s="20">
        <f t="shared" si="85"/>
        <v>4.0820560821892525E-2</v>
      </c>
      <c r="H92" s="37">
        <f t="shared" ref="H92:H101" si="90">-0.4-0.67*LOG(J92)</f>
        <v>-0.17026513459152323</v>
      </c>
      <c r="I92" s="37">
        <f t="shared" si="86"/>
        <v>1.18546758069965</v>
      </c>
      <c r="J92" s="20">
        <f t="shared" ref="J92:J103" si="91">(1-$B$10)*EXP(-O92/$B$11)+$B$10*EXP(-O92/$B$12)+EXP(-B$13/O92)</f>
        <v>0.45405884614340031</v>
      </c>
      <c r="K92" s="20">
        <f t="shared" ref="K92:K101" si="92">$P$90*101325/760/8.314/O92/1000000</f>
        <v>3.3515004811161895E-4</v>
      </c>
      <c r="L92" s="38">
        <f t="shared" ref="L92:L103" si="93">B$4*O92^B$5*EXP(-B$6/1.987/O92)</f>
        <v>51915144096005.555</v>
      </c>
      <c r="M92" s="20">
        <f t="shared" si="87"/>
        <v>6323153790634473</v>
      </c>
      <c r="N92" s="37">
        <f t="shared" si="88"/>
        <v>25</v>
      </c>
      <c r="O92" s="39">
        <v>400</v>
      </c>
      <c r="P92" s="40"/>
      <c r="Q92" s="20">
        <f t="shared" si="89"/>
        <v>1429913466018.5398</v>
      </c>
      <c r="R92" s="20">
        <f>0.0000000000022*6.02E+23</f>
        <v>1324400000000</v>
      </c>
      <c r="S92" s="20">
        <f>(R92-Q92)^2/Q92^2</f>
        <v>5.4449797218383954E-3</v>
      </c>
      <c r="T92" s="20"/>
    </row>
    <row r="93" spans="4:20" ht="15.75">
      <c r="D93" s="2">
        <f t="shared" si="82"/>
        <v>0.73404972097017929</v>
      </c>
      <c r="E93" s="2">
        <f t="shared" si="83"/>
        <v>-0.1342745220844114</v>
      </c>
      <c r="F93" s="2">
        <f t="shared" si="84"/>
        <v>-1.7899803992792471</v>
      </c>
      <c r="G93" s="6">
        <f t="shared" si="85"/>
        <v>2.4004061750129681E-2</v>
      </c>
      <c r="H93" s="2">
        <f t="shared" si="90"/>
        <v>-0.17026513459152323</v>
      </c>
      <c r="I93" s="2">
        <f t="shared" si="86"/>
        <v>1.18546758069965</v>
      </c>
      <c r="J93" s="4">
        <f t="shared" si="91"/>
        <v>0.45405884614340031</v>
      </c>
      <c r="K93" s="6">
        <f t="shared" si="92"/>
        <v>2.6812003848929514E-4</v>
      </c>
      <c r="L93" s="9">
        <f t="shared" si="93"/>
        <v>55914419404048.281</v>
      </c>
      <c r="M93" s="6">
        <f t="shared" si="87"/>
        <v>5005866714251614</v>
      </c>
      <c r="N93" s="2">
        <f t="shared" si="88"/>
        <v>20</v>
      </c>
      <c r="O93" s="12">
        <v>500</v>
      </c>
      <c r="P93" s="13"/>
      <c r="Q93" s="6">
        <f t="shared" si="89"/>
        <v>962126892079.04761</v>
      </c>
      <c r="R93" s="6"/>
      <c r="S93" s="6"/>
      <c r="T93" s="6"/>
    </row>
    <row r="94" spans="4:20" ht="15.75">
      <c r="D94" s="2">
        <f t="shared" si="82"/>
        <v>0.75737172522960172</v>
      </c>
      <c r="E94" s="2">
        <f t="shared" si="83"/>
        <v>-0.12069091232051786</v>
      </c>
      <c r="F94" s="2">
        <f t="shared" si="84"/>
        <v>-1.9857035842910891</v>
      </c>
      <c r="G94" s="6">
        <f t="shared" si="85"/>
        <v>1.5295425051705058E-2</v>
      </c>
      <c r="H94" s="2">
        <f t="shared" si="90"/>
        <v>-0.17026513459152323</v>
      </c>
      <c r="I94" s="2">
        <f t="shared" si="86"/>
        <v>1.18546758069965</v>
      </c>
      <c r="J94" s="4">
        <f t="shared" si="91"/>
        <v>0.45405884614340031</v>
      </c>
      <c r="K94" s="6">
        <f t="shared" si="92"/>
        <v>2.2343336540774599E-4</v>
      </c>
      <c r="L94" s="9">
        <f t="shared" si="93"/>
        <v>59954213423504.078</v>
      </c>
      <c r="M94" s="6">
        <f t="shared" si="87"/>
        <v>4104244575467262</v>
      </c>
      <c r="N94" s="2">
        <f t="shared" si="88"/>
        <v>16.666666666666668</v>
      </c>
      <c r="O94" s="12">
        <v>600</v>
      </c>
      <c r="P94" s="13"/>
      <c r="Q94" s="6">
        <f t="shared" si="89"/>
        <v>684065862967.89392</v>
      </c>
      <c r="R94" s="6"/>
      <c r="S94" s="6"/>
      <c r="T94" s="6"/>
    </row>
    <row r="95" spans="4:20" ht="15.75">
      <c r="D95" s="37">
        <f t="shared" si="82"/>
        <v>0.7751890941112215</v>
      </c>
      <c r="E95" s="37">
        <f t="shared" si="83"/>
        <v>-0.1105923458652294</v>
      </c>
      <c r="F95" s="37">
        <f t="shared" si="84"/>
        <v>-2.155438974535306</v>
      </c>
      <c r="G95" s="20">
        <f t="shared" si="85"/>
        <v>1.0347279015821654E-2</v>
      </c>
      <c r="H95" s="37">
        <f t="shared" si="90"/>
        <v>-0.17026513459152323</v>
      </c>
      <c r="I95" s="37">
        <f t="shared" si="86"/>
        <v>1.18546758069965</v>
      </c>
      <c r="J95" s="20">
        <f t="shared" si="91"/>
        <v>0.45405884614340031</v>
      </c>
      <c r="K95" s="20">
        <f t="shared" si="92"/>
        <v>1.9151431320663941E-4</v>
      </c>
      <c r="L95" s="38">
        <f t="shared" si="93"/>
        <v>63935043186733.742</v>
      </c>
      <c r="M95" s="20">
        <f t="shared" si="87"/>
        <v>3454330486661539.5</v>
      </c>
      <c r="N95" s="37">
        <f t="shared" si="88"/>
        <v>14.285714285714286</v>
      </c>
      <c r="O95" s="39">
        <v>700</v>
      </c>
      <c r="P95" s="40"/>
      <c r="Q95" s="20">
        <f t="shared" si="89"/>
        <v>507577194387.19714</v>
      </c>
      <c r="R95" s="20">
        <f>0.00000000000082*6.02E+23</f>
        <v>493640000000</v>
      </c>
      <c r="S95" s="20">
        <f>(R95-Q95)^2/Q95^2</f>
        <v>7.53956887612704E-4</v>
      </c>
      <c r="T95" s="20"/>
    </row>
    <row r="96" spans="4:20" ht="15.75">
      <c r="D96" s="2">
        <f t="shared" si="82"/>
        <v>0.78925771860117688</v>
      </c>
      <c r="E96" s="2">
        <f t="shared" si="83"/>
        <v>-0.10278116220165218</v>
      </c>
      <c r="F96" s="2">
        <f t="shared" si="84"/>
        <v>-2.3051623681639786</v>
      </c>
      <c r="G96" s="6">
        <f t="shared" si="85"/>
        <v>7.3299796078614508E-3</v>
      </c>
      <c r="H96" s="2">
        <f t="shared" si="90"/>
        <v>-0.17026513459152323</v>
      </c>
      <c r="I96" s="2">
        <f t="shared" si="86"/>
        <v>1.18546758069965</v>
      </c>
      <c r="J96" s="4">
        <f t="shared" si="91"/>
        <v>0.45405884614340031</v>
      </c>
      <c r="K96" s="6">
        <f t="shared" si="92"/>
        <v>1.6757502405580948E-4</v>
      </c>
      <c r="L96" s="9">
        <f t="shared" si="93"/>
        <v>67823786331033.422</v>
      </c>
      <c r="M96" s="6">
        <f t="shared" si="87"/>
        <v>2966712811384449</v>
      </c>
      <c r="N96" s="2">
        <f t="shared" si="88"/>
        <v>12.5</v>
      </c>
      <c r="O96" s="12">
        <v>800</v>
      </c>
      <c r="P96" s="13"/>
      <c r="Q96" s="6">
        <f t="shared" si="89"/>
        <v>389521896374.10236</v>
      </c>
      <c r="R96" s="6"/>
      <c r="S96" s="6"/>
      <c r="T96" s="6"/>
    </row>
    <row r="97" spans="4:20" ht="15.75">
      <c r="D97" s="2">
        <f t="shared" si="82"/>
        <v>0.80066893060424094</v>
      </c>
      <c r="E97" s="2">
        <f t="shared" si="83"/>
        <v>-9.6547023658346609E-2</v>
      </c>
      <c r="F97" s="2">
        <f t="shared" si="84"/>
        <v>-2.4390390563736695</v>
      </c>
      <c r="G97" s="6">
        <f t="shared" si="85"/>
        <v>5.3855005951206217E-3</v>
      </c>
      <c r="H97" s="2">
        <f t="shared" si="90"/>
        <v>-0.17026513459152323</v>
      </c>
      <c r="I97" s="2">
        <f t="shared" si="86"/>
        <v>1.18546758069965</v>
      </c>
      <c r="J97" s="4">
        <f t="shared" si="91"/>
        <v>0.45405884614340031</v>
      </c>
      <c r="K97" s="6">
        <f t="shared" si="92"/>
        <v>1.4895557693849734E-4</v>
      </c>
      <c r="L97" s="9">
        <f t="shared" si="93"/>
        <v>71611384152110.969</v>
      </c>
      <c r="M97" s="6">
        <f t="shared" si="87"/>
        <v>2589115224117070.5</v>
      </c>
      <c r="N97" s="2">
        <f t="shared" si="88"/>
        <v>11.111111111111111</v>
      </c>
      <c r="O97" s="12">
        <v>900</v>
      </c>
      <c r="P97" s="13"/>
      <c r="Q97" s="6">
        <f t="shared" si="89"/>
        <v>307134430800.30682</v>
      </c>
      <c r="R97" s="6"/>
      <c r="S97" s="6"/>
      <c r="T97" s="6"/>
    </row>
    <row r="98" spans="4:20" ht="15.75">
      <c r="D98" s="26">
        <f t="shared" si="82"/>
        <v>0.81623983783517573</v>
      </c>
      <c r="E98" s="26">
        <f t="shared" si="83"/>
        <v>-8.8182212638254584E-2</v>
      </c>
      <c r="F98" s="26">
        <f t="shared" si="84"/>
        <v>-2.6437840986833923</v>
      </c>
      <c r="G98" s="27">
        <f t="shared" si="85"/>
        <v>3.3610969201450912E-3</v>
      </c>
      <c r="H98" s="26">
        <f t="shared" si="90"/>
        <v>-0.17026513459152323</v>
      </c>
      <c r="I98" s="26">
        <f t="shared" si="86"/>
        <v>1.18546758069965</v>
      </c>
      <c r="J98" s="27">
        <f t="shared" si="91"/>
        <v>0.45405884614340031</v>
      </c>
      <c r="K98" s="27">
        <f t="shared" si="92"/>
        <v>1.2470699464618381E-4</v>
      </c>
      <c r="L98" s="28">
        <f t="shared" si="93"/>
        <v>77999715265208.937</v>
      </c>
      <c r="M98" s="27">
        <f t="shared" si="87"/>
        <v>2102244573320814.7</v>
      </c>
      <c r="N98" s="26">
        <f t="shared" si="88"/>
        <v>9.3023255813953494</v>
      </c>
      <c r="O98" s="29">
        <v>1075</v>
      </c>
      <c r="P98" s="30"/>
      <c r="Q98" s="27">
        <f t="shared" si="89"/>
        <v>213272363749.90308</v>
      </c>
      <c r="R98" s="27">
        <f>0.000000000000353*6.02E+23</f>
        <v>212506000000</v>
      </c>
      <c r="S98" s="27">
        <f>(R98-Q98)^2/Q98^2</f>
        <v>1.2912214823148915E-5</v>
      </c>
      <c r="T98" s="27"/>
    </row>
    <row r="99" spans="4:20" ht="15.75">
      <c r="D99" s="26">
        <f t="shared" si="82"/>
        <v>0.82207751888213776</v>
      </c>
      <c r="E99" s="26">
        <f t="shared" si="83"/>
        <v>-8.508722815895825E-2</v>
      </c>
      <c r="F99" s="26">
        <f t="shared" si="84"/>
        <v>-2.7283474726028341</v>
      </c>
      <c r="G99" s="27">
        <f t="shared" si="85"/>
        <v>2.7664171099023101E-3</v>
      </c>
      <c r="H99" s="26">
        <f t="shared" si="90"/>
        <v>-0.17026513459152323</v>
      </c>
      <c r="I99" s="26">
        <f t="shared" si="86"/>
        <v>1.18546758069965</v>
      </c>
      <c r="J99" s="27">
        <f t="shared" si="91"/>
        <v>0.45405884614340031</v>
      </c>
      <c r="K99" s="27">
        <f t="shared" si="92"/>
        <v>1.1596887477910691E-4</v>
      </c>
      <c r="L99" s="28">
        <f t="shared" si="93"/>
        <v>80858943439955.328</v>
      </c>
      <c r="M99" s="27">
        <f t="shared" si="87"/>
        <v>1928875873349559.7</v>
      </c>
      <c r="N99" s="26">
        <f t="shared" si="88"/>
        <v>8.6505190311418687</v>
      </c>
      <c r="O99" s="29">
        <v>1156</v>
      </c>
      <c r="P99" s="30"/>
      <c r="Q99" s="27">
        <f t="shared" si="89"/>
        <v>183382848832.71445</v>
      </c>
      <c r="R99" s="27">
        <f>0.000000000000306*6.02E+23</f>
        <v>184212000000</v>
      </c>
      <c r="S99" s="27">
        <f>(R99-Q99)^2/Q99^2</f>
        <v>2.0443252964609784E-5</v>
      </c>
      <c r="T99" s="27"/>
    </row>
    <row r="100" spans="4:20" ht="15.75">
      <c r="D100" s="2">
        <f t="shared" si="82"/>
        <v>0.81476921494025512</v>
      </c>
      <c r="E100" s="2">
        <f t="shared" si="83"/>
        <v>-8.896538864849296E-2</v>
      </c>
      <c r="F100" s="2">
        <f t="shared" si="84"/>
        <v>-2.6232042266986784</v>
      </c>
      <c r="G100" s="6">
        <f t="shared" si="85"/>
        <v>3.5242029297439547E-3</v>
      </c>
      <c r="H100" s="2">
        <f t="shared" si="90"/>
        <v>-0.17026513459152323</v>
      </c>
      <c r="I100" s="2">
        <f t="shared" si="86"/>
        <v>1.18546758069965</v>
      </c>
      <c r="J100" s="4">
        <f t="shared" si="91"/>
        <v>0.45405884614340031</v>
      </c>
      <c r="K100" s="6">
        <f>10*101325/8.314/O100/1000000</f>
        <v>1.1960033833941261E-4</v>
      </c>
      <c r="L100" s="9">
        <f t="shared" si="93"/>
        <v>75987666915526.359</v>
      </c>
      <c r="M100" s="6">
        <f t="shared" si="87"/>
        <v>2239090307655571.2</v>
      </c>
      <c r="N100" s="2">
        <f t="shared" si="88"/>
        <v>9.8135426889106974</v>
      </c>
      <c r="O100" s="12">
        <v>1019</v>
      </c>
      <c r="P100" s="13"/>
      <c r="Q100" s="6">
        <f t="shared" si="89"/>
        <v>217425650648.73703</v>
      </c>
      <c r="R100" s="6">
        <f>0.000000000000339*6.02E+23</f>
        <v>204078000000</v>
      </c>
      <c r="S100" s="27">
        <f>(R100-Q100)^2/Q100^2</f>
        <v>3.7686699582108736E-3</v>
      </c>
    </row>
    <row r="101" spans="4:20" ht="15.75">
      <c r="D101" s="2">
        <f t="shared" si="82"/>
        <v>0.83091396616449731</v>
      </c>
      <c r="E101" s="2">
        <f t="shared" si="83"/>
        <v>-8.0443941263189697E-2</v>
      </c>
      <c r="F101" s="2">
        <f t="shared" si="84"/>
        <v>-2.8659319568459138</v>
      </c>
      <c r="G101" s="6">
        <f t="shared" si="85"/>
        <v>2.0152697116576348E-3</v>
      </c>
      <c r="H101" s="2">
        <f t="shared" si="90"/>
        <v>-0.17026513459152323</v>
      </c>
      <c r="I101" s="2">
        <f t="shared" si="86"/>
        <v>1.18546758069965</v>
      </c>
      <c r="J101" s="4">
        <f t="shared" si="91"/>
        <v>0.45405884614340031</v>
      </c>
      <c r="K101" s="6">
        <f t="shared" si="92"/>
        <v>1.03123091726652E-4</v>
      </c>
      <c r="L101" s="9">
        <f t="shared" si="93"/>
        <v>85801817887422.609</v>
      </c>
      <c r="M101" s="6">
        <f t="shared" si="87"/>
        <v>1676770953027950.5</v>
      </c>
      <c r="N101" s="2">
        <f t="shared" si="88"/>
        <v>7.6923076923076925</v>
      </c>
      <c r="O101" s="12">
        <v>1300</v>
      </c>
      <c r="P101" s="13"/>
      <c r="Q101" s="6">
        <f t="shared" si="89"/>
        <v>143387530797.86984</v>
      </c>
      <c r="R101" s="6"/>
    </row>
    <row r="102" spans="4:20" ht="15.75">
      <c r="D102" s="2">
        <f>10^E102</f>
        <v>0.8407619182782341</v>
      </c>
      <c r="E102" s="2">
        <f>LOG(J102)/(1+(F102/(I102-0.14*F102))^2)</f>
        <v>-7.5326967598478164E-2</v>
      </c>
      <c r="F102" s="2">
        <f>LOG(G102)+H102</f>
        <v>-3.0350227660381837</v>
      </c>
      <c r="G102" s="6">
        <f>M102*K102/L102</f>
        <v>1.3653448877927609E-3</v>
      </c>
      <c r="H102" s="2">
        <f>-0.4-0.67*LOG(J102)</f>
        <v>-0.17026513459152323</v>
      </c>
      <c r="I102" s="2">
        <f>0.75-1.27*LOG(J102)</f>
        <v>1.18546758069965</v>
      </c>
      <c r="J102" s="4">
        <f t="shared" si="91"/>
        <v>0.45405884614340031</v>
      </c>
      <c r="K102" s="6">
        <f>$P$90*101325/760/8.314/O102/1000000</f>
        <v>8.9373346163098389E-5</v>
      </c>
      <c r="L102" s="9">
        <f t="shared" si="93"/>
        <v>92396720595423.437</v>
      </c>
      <c r="M102" s="6">
        <f>$B$7*O102^$B$8*EXP(-$B$9/1.987/O102)</f>
        <v>1411532582472170.2</v>
      </c>
      <c r="N102" s="2">
        <f>10000/O102</f>
        <v>6.666666666666667</v>
      </c>
      <c r="O102" s="12">
        <v>1500</v>
      </c>
      <c r="P102" s="13"/>
      <c r="Q102" s="6">
        <f>L102/(1+L102/M102/K102)*D102</f>
        <v>105920348463.07469</v>
      </c>
      <c r="R102" s="6"/>
    </row>
    <row r="103" spans="4:20" ht="15.75">
      <c r="D103" s="2">
        <f>10^E103</f>
        <v>0.85199146386769864</v>
      </c>
      <c r="E103" s="2">
        <f>LOG(J103)/(1+(F103/(I103-0.14*F103))^2)</f>
        <v>-6.9564756423119725E-2</v>
      </c>
      <c r="F103" s="2">
        <f>LOG(G103)+H103</f>
        <v>-3.2523603953024662</v>
      </c>
      <c r="G103" s="6">
        <f>M103*K103/L103</f>
        <v>8.2776057791488855E-4</v>
      </c>
      <c r="H103" s="2">
        <f>-0.4-0.67*LOG(J103)</f>
        <v>-0.17026513459152323</v>
      </c>
      <c r="I103" s="2">
        <f>0.75-1.27*LOG(J103)</f>
        <v>1.18546758069965</v>
      </c>
      <c r="J103" s="4">
        <f t="shared" si="91"/>
        <v>0.45405884614340031</v>
      </c>
      <c r="K103" s="6">
        <f>$P$90*101325/760/8.314/O103/1000000</f>
        <v>7.4477788469248671E-5</v>
      </c>
      <c r="L103" s="9">
        <f t="shared" si="93"/>
        <v>101779852540394.17</v>
      </c>
      <c r="M103" s="6">
        <f>$B$7*O103^$B$8*EXP(-$B$9/1.987/O103)</f>
        <v>1131201010267843.2</v>
      </c>
      <c r="N103" s="2">
        <f>10000/O103</f>
        <v>5.5555555555555554</v>
      </c>
      <c r="O103" s="12">
        <v>1800</v>
      </c>
      <c r="P103" s="13"/>
      <c r="Q103" s="6">
        <f>L103/(1+L103/M103/K103)*D103</f>
        <v>71720359374.489136</v>
      </c>
      <c r="R103" s="6"/>
    </row>
    <row r="104" spans="4:20">
      <c r="D104" s="2" t="s">
        <v>4</v>
      </c>
      <c r="E104" s="2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s="2" t="s">
        <v>14</v>
      </c>
      <c r="P104">
        <f>760*30</f>
        <v>22800</v>
      </c>
      <c r="Q104" s="6" t="s">
        <v>16</v>
      </c>
    </row>
    <row r="105" spans="4:20" ht="15.75">
      <c r="D105" s="37">
        <f t="shared" ref="D105:D115" si="94">10^E105</f>
        <v>0.57345326374869843</v>
      </c>
      <c r="E105" s="37">
        <f t="shared" ref="E105:E115" si="95">LOG(J105)/(1+(F105/(I105-0.14*F105))^2)</f>
        <v>-0.24150197117707115</v>
      </c>
      <c r="F105" s="37">
        <f t="shared" ref="F105:F115" si="96">LOG(G105)+H105</f>
        <v>-0.84472589706305967</v>
      </c>
      <c r="G105" s="20">
        <f t="shared" ref="G105:G115" si="97">M105*K105/L105</f>
        <v>0.21161148628172161</v>
      </c>
      <c r="H105" s="37">
        <f>-0.4-0.67*LOG(J105)</f>
        <v>-0.17026513459152323</v>
      </c>
      <c r="I105" s="37">
        <f t="shared" ref="I105:I115" si="98">0.75-1.27*LOG(J105)</f>
        <v>1.18546758069965</v>
      </c>
      <c r="J105" s="20">
        <f>(1-$B$10)*EXP(-O105/$B$11)+$B$10*EXP(-O105/$B$12)+EXP(-B$13/O105)</f>
        <v>0.45405884614340031</v>
      </c>
      <c r="K105" s="20">
        <f>$P$104*101325/760/8.314/O105/1000000</f>
        <v>1.2187274476786144E-3</v>
      </c>
      <c r="L105" s="38">
        <f>B$4*O105^B$5*EXP(-B$6/1.987/O105)</f>
        <v>48271057302442.148</v>
      </c>
      <c r="M105" s="20">
        <f t="shared" ref="M105:M115" si="99">$B$7*O105^$B$8*EXP(-$B$9/1.987/O105)</f>
        <v>8381455755030811</v>
      </c>
      <c r="N105" s="37">
        <f t="shared" ref="N105:N115" si="100">10000/O105</f>
        <v>33.333333333333336</v>
      </c>
      <c r="O105" s="39">
        <v>300</v>
      </c>
      <c r="P105" s="40"/>
      <c r="Q105" s="20">
        <f t="shared" ref="Q105:Q115" si="101">L105/(1+L105/M105/K105)*D105</f>
        <v>4834601650266.7568</v>
      </c>
      <c r="R105" s="20">
        <f>0.0000000000081*6.02E+23</f>
        <v>4876200000000</v>
      </c>
      <c r="S105" s="20">
        <f>(R105-Q105)^2/Q105^2</f>
        <v>7.4033931340797846E-5</v>
      </c>
      <c r="T105" s="20"/>
    </row>
    <row r="106" spans="4:20" ht="15.75">
      <c r="D106" s="26">
        <f t="shared" si="94"/>
        <v>0.79603930081568774</v>
      </c>
      <c r="E106" s="26">
        <f t="shared" si="95"/>
        <v>-9.9065490420559635E-2</v>
      </c>
      <c r="F106" s="26">
        <f t="shared" si="96"/>
        <v>-2.383241515150631</v>
      </c>
      <c r="G106" s="27">
        <f t="shared" si="97"/>
        <v>6.1238369577949533E-3</v>
      </c>
      <c r="H106" s="26">
        <f t="shared" ref="H106:H115" si="102">-0.4-0.67*LOG(J106)</f>
        <v>-0.17026513459152323</v>
      </c>
      <c r="I106" s="26">
        <f t="shared" si="98"/>
        <v>1.18546758069965</v>
      </c>
      <c r="J106" s="31">
        <f t="shared" ref="J106:J117" si="103">(1-$B$10)*EXP(-O106/$B$11)+$B$10*EXP(-O106/$B$12)+EXP(-B$13/O106)</f>
        <v>0.45405884614340031</v>
      </c>
      <c r="K106" s="27">
        <f>23.4*101325/8.314/O106/1000000</f>
        <v>2.5037947564248971E-4</v>
      </c>
      <c r="L106" s="28">
        <f t="shared" ref="L106:L117" si="104">B$4*O106^B$5*EXP(-B$6/1.987/O106)</f>
        <v>80263737500032.172</v>
      </c>
      <c r="M106" s="27">
        <f t="shared" si="99"/>
        <v>1963108361067427</v>
      </c>
      <c r="N106" s="26">
        <f t="shared" si="100"/>
        <v>8.7796312554872689</v>
      </c>
      <c r="O106" s="29">
        <v>1139</v>
      </c>
      <c r="P106" s="30"/>
      <c r="Q106" s="27">
        <f t="shared" si="101"/>
        <v>388889367625.68823</v>
      </c>
      <c r="R106" s="27">
        <f>0.000000000000595*6.02E+23</f>
        <v>358190000000</v>
      </c>
      <c r="S106" s="20">
        <f t="shared" ref="S106:S117" si="105">(R106-Q106)^2/Q106^2</f>
        <v>6.2317026147849716E-3</v>
      </c>
      <c r="T106" s="27"/>
    </row>
    <row r="107" spans="4:20" ht="15.75">
      <c r="D107" s="26">
        <f t="shared" si="94"/>
        <v>0.79732463161823908</v>
      </c>
      <c r="E107" s="26">
        <f t="shared" si="95"/>
        <v>-9.8364819111654997E-2</v>
      </c>
      <c r="F107" s="26">
        <f t="shared" si="96"/>
        <v>-2.3985214510452271</v>
      </c>
      <c r="G107" s="27">
        <f t="shared" si="97"/>
        <v>5.9121260315864281E-3</v>
      </c>
      <c r="H107" s="26">
        <f t="shared" si="102"/>
        <v>-0.17026513459152323</v>
      </c>
      <c r="I107" s="26">
        <f t="shared" si="98"/>
        <v>1.18546758069965</v>
      </c>
      <c r="J107" s="31">
        <f t="shared" si="103"/>
        <v>0.45405884614340031</v>
      </c>
      <c r="K107" s="27">
        <f>25.3*101325/8.314/O107/1000000</f>
        <v>2.5954380830192712E-4</v>
      </c>
      <c r="L107" s="28">
        <f t="shared" si="104"/>
        <v>81972473497796.375</v>
      </c>
      <c r="M107" s="27">
        <f t="shared" si="99"/>
        <v>1867243906185113</v>
      </c>
      <c r="N107" s="26">
        <f t="shared" si="100"/>
        <v>8.4175084175084169</v>
      </c>
      <c r="O107" s="29">
        <v>1188</v>
      </c>
      <c r="P107" s="30"/>
      <c r="Q107" s="27">
        <f t="shared" si="101"/>
        <v>384137637381.63757</v>
      </c>
      <c r="R107" s="27">
        <f>0.0000000000006*6.02E+23</f>
        <v>361200000000</v>
      </c>
      <c r="S107" s="20">
        <f t="shared" si="105"/>
        <v>3.565526294852666E-3</v>
      </c>
      <c r="T107" s="27"/>
    </row>
    <row r="108" spans="4:20" ht="15.75">
      <c r="D108" s="26">
        <f t="shared" si="94"/>
        <v>0.78936763738756222</v>
      </c>
      <c r="E108" s="26">
        <f t="shared" si="95"/>
        <v>-0.10272068284563433</v>
      </c>
      <c r="F108" s="26">
        <f t="shared" si="96"/>
        <v>-2.3063951707063217</v>
      </c>
      <c r="G108" s="27">
        <f t="shared" si="97"/>
        <v>7.3092019916042765E-3</v>
      </c>
      <c r="H108" s="26">
        <f t="shared" si="102"/>
        <v>-0.17026513459152323</v>
      </c>
      <c r="I108" s="26">
        <f t="shared" si="98"/>
        <v>1.18546758069965</v>
      </c>
      <c r="J108" s="31">
        <f t="shared" si="103"/>
        <v>0.45405884614340031</v>
      </c>
      <c r="K108" s="27">
        <f>24.1*101325/8.314/O108/1000000</f>
        <v>2.7246133106729689E-4</v>
      </c>
      <c r="L108" s="28">
        <f t="shared" si="104"/>
        <v>78106675902592.969</v>
      </c>
      <c r="M108" s="27">
        <f t="shared" si="99"/>
        <v>2095333928042114.7</v>
      </c>
      <c r="N108" s="26">
        <f t="shared" si="100"/>
        <v>9.2764378478664185</v>
      </c>
      <c r="O108" s="29">
        <v>1078</v>
      </c>
      <c r="P108" s="30"/>
      <c r="Q108" s="27">
        <f t="shared" si="101"/>
        <v>447378011671.06677</v>
      </c>
      <c r="R108" s="27">
        <f>0.000000000000682*6.02E+23</f>
        <v>410564000000</v>
      </c>
      <c r="S108" s="20">
        <f t="shared" si="105"/>
        <v>6.771377425281235E-3</v>
      </c>
      <c r="T108" s="27"/>
    </row>
    <row r="109" spans="4:20" ht="15.75">
      <c r="D109" s="26">
        <f t="shared" si="94"/>
        <v>0.79504561881035596</v>
      </c>
      <c r="E109" s="26">
        <f t="shared" si="95"/>
        <v>-9.9607951306796602E-2</v>
      </c>
      <c r="F109" s="26">
        <f t="shared" si="96"/>
        <v>-2.3715368485216457</v>
      </c>
      <c r="G109" s="27">
        <f t="shared" si="97"/>
        <v>6.2911245898918111E-3</v>
      </c>
      <c r="H109" s="26">
        <f t="shared" si="102"/>
        <v>-0.17026513459152323</v>
      </c>
      <c r="I109" s="26">
        <f t="shared" si="98"/>
        <v>1.18546758069965</v>
      </c>
      <c r="J109" s="31">
        <f t="shared" si="103"/>
        <v>0.45405884614340031</v>
      </c>
      <c r="K109" s="27">
        <f>26.8*101325/8.314/O109/1000000</f>
        <v>2.7539540976211519E-4</v>
      </c>
      <c r="L109" s="28">
        <f t="shared" si="104"/>
        <v>81903137512274.75</v>
      </c>
      <c r="M109" s="27">
        <f t="shared" si="99"/>
        <v>1870992849292015.7</v>
      </c>
      <c r="N109" s="26">
        <f t="shared" si="100"/>
        <v>8.4317032040472171</v>
      </c>
      <c r="O109" s="29">
        <v>1186</v>
      </c>
      <c r="P109" s="30"/>
      <c r="Q109" s="27">
        <f t="shared" si="101"/>
        <v>407096371387.64392</v>
      </c>
      <c r="R109" s="27">
        <f>0.000000000000652*6.02E+23</f>
        <v>392504000000</v>
      </c>
      <c r="S109" s="20">
        <f t="shared" si="105"/>
        <v>1.2848643693218016E-3</v>
      </c>
      <c r="T109" s="27"/>
    </row>
    <row r="110" spans="4:20" ht="15.75">
      <c r="D110" s="26">
        <f t="shared" si="94"/>
        <v>0.79488766891096574</v>
      </c>
      <c r="E110" s="26">
        <f t="shared" si="95"/>
        <v>-9.9694240172471388E-2</v>
      </c>
      <c r="F110" s="26">
        <f t="shared" si="96"/>
        <v>-2.3696849259657418</v>
      </c>
      <c r="G110" s="27">
        <f t="shared" si="97"/>
        <v>6.3180085403489678E-3</v>
      </c>
      <c r="H110" s="26">
        <f t="shared" si="102"/>
        <v>-0.17026513459152323</v>
      </c>
      <c r="I110" s="26">
        <f t="shared" si="98"/>
        <v>1.18546758069965</v>
      </c>
      <c r="J110" s="31">
        <f t="shared" si="103"/>
        <v>0.45405884614340031</v>
      </c>
      <c r="K110" s="27">
        <f>24.6*101325/8.314/O110/1000000</f>
        <v>2.6138356767998181E-4</v>
      </c>
      <c r="L110" s="28">
        <f t="shared" si="104"/>
        <v>80544152200547.078</v>
      </c>
      <c r="M110" s="27">
        <f t="shared" si="99"/>
        <v>1946865466697034</v>
      </c>
      <c r="N110" s="26">
        <f t="shared" si="100"/>
        <v>8.7183958151700089</v>
      </c>
      <c r="O110" s="29">
        <v>1147</v>
      </c>
      <c r="P110" s="30"/>
      <c r="Q110" s="27">
        <f t="shared" si="101"/>
        <v>401961759255.33533</v>
      </c>
      <c r="R110" s="27">
        <f>0.000000000000649*6.02E+23</f>
        <v>390698000000</v>
      </c>
      <c r="S110" s="20">
        <f t="shared" si="105"/>
        <v>7.8523064880127067E-4</v>
      </c>
      <c r="T110" s="27"/>
    </row>
    <row r="111" spans="4:20" ht="15.75">
      <c r="D111" s="26">
        <f t="shared" si="94"/>
        <v>0.78337796483216782</v>
      </c>
      <c r="E111" s="26">
        <f t="shared" si="95"/>
        <v>-0.10602864862474594</v>
      </c>
      <c r="F111" s="26">
        <f t="shared" si="96"/>
        <v>-2.2406961755225416</v>
      </c>
      <c r="G111" s="27">
        <f t="shared" si="97"/>
        <v>8.5029369560885668E-3</v>
      </c>
      <c r="H111" s="26">
        <f t="shared" si="102"/>
        <v>-0.17026513459152323</v>
      </c>
      <c r="I111" s="26">
        <f t="shared" si="98"/>
        <v>1.18546758069965</v>
      </c>
      <c r="J111" s="31">
        <f t="shared" si="103"/>
        <v>0.45405884614340031</v>
      </c>
      <c r="K111" s="27">
        <f>40.4*101325/8.314/O111/1000000</f>
        <v>3.9867683308676943E-4</v>
      </c>
      <c r="L111" s="28">
        <f t="shared" si="104"/>
        <v>83592080559945.328</v>
      </c>
      <c r="M111" s="27">
        <f t="shared" si="99"/>
        <v>1782842974662627.5</v>
      </c>
      <c r="N111" s="26">
        <f t="shared" si="100"/>
        <v>8.097165991902834</v>
      </c>
      <c r="O111" s="29">
        <v>1235</v>
      </c>
      <c r="P111" s="30"/>
      <c r="Q111" s="27">
        <f t="shared" si="101"/>
        <v>552113387410.01331</v>
      </c>
      <c r="R111" s="27">
        <f>0.00000000000083*6.02E+23</f>
        <v>499660000000</v>
      </c>
      <c r="S111" s="20">
        <f t="shared" si="105"/>
        <v>9.0259001367371389E-3</v>
      </c>
      <c r="T111" s="27"/>
    </row>
    <row r="112" spans="4:20" ht="15.75">
      <c r="D112" s="26">
        <f t="shared" si="94"/>
        <v>0.78833739115987811</v>
      </c>
      <c r="E112" s="26">
        <f t="shared" si="95"/>
        <v>-0.10328787418645616</v>
      </c>
      <c r="F112" s="26">
        <f t="shared" si="96"/>
        <v>-2.2948811247589287</v>
      </c>
      <c r="G112" s="27">
        <f t="shared" si="97"/>
        <v>7.5055757051163633E-3</v>
      </c>
      <c r="H112" s="26">
        <f t="shared" si="102"/>
        <v>-0.17026513459152323</v>
      </c>
      <c r="I112" s="26">
        <f t="shared" si="98"/>
        <v>1.18546758069965</v>
      </c>
      <c r="J112" s="31">
        <f t="shared" si="103"/>
        <v>0.45405884614340031</v>
      </c>
      <c r="K112" s="27">
        <f>34.2*101325/8.314/O112/1000000</f>
        <v>3.4276709465961034E-4</v>
      </c>
      <c r="L112" s="28">
        <f t="shared" si="104"/>
        <v>82939591500272.844</v>
      </c>
      <c r="M112" s="27">
        <f t="shared" si="99"/>
        <v>1816129356217565.7</v>
      </c>
      <c r="N112" s="26">
        <f t="shared" si="100"/>
        <v>8.223684210526315</v>
      </c>
      <c r="O112" s="29">
        <v>1216</v>
      </c>
      <c r="P112" s="30"/>
      <c r="Q112" s="27">
        <f t="shared" si="101"/>
        <v>487091520649.09692</v>
      </c>
      <c r="R112" s="27">
        <f>0.000000000000735*6.02E+23</f>
        <v>442470000000</v>
      </c>
      <c r="S112" s="20">
        <f t="shared" si="105"/>
        <v>8.3920409449893003E-3</v>
      </c>
      <c r="T112" s="27"/>
    </row>
    <row r="113" spans="4:20" ht="15.75">
      <c r="D113" s="26">
        <f t="shared" si="94"/>
        <v>0.78244759534285657</v>
      </c>
      <c r="E113" s="26">
        <f t="shared" si="95"/>
        <v>-0.1065447398077804</v>
      </c>
      <c r="F113" s="26">
        <f t="shared" si="96"/>
        <v>-2.2307529131309045</v>
      </c>
      <c r="G113" s="27">
        <f t="shared" si="97"/>
        <v>8.6998591495356832E-3</v>
      </c>
      <c r="H113" s="26">
        <f t="shared" si="102"/>
        <v>-0.17026513459152323</v>
      </c>
      <c r="I113" s="26">
        <f t="shared" si="98"/>
        <v>1.18546758069965</v>
      </c>
      <c r="J113" s="31">
        <f t="shared" si="103"/>
        <v>0.45405884614340031</v>
      </c>
      <c r="K113" s="27">
        <f>26.4*101325/8.314/O113/1000000</f>
        <v>3.0788903941354469E-4</v>
      </c>
      <c r="L113" s="28">
        <f t="shared" si="104"/>
        <v>76925503899364.703</v>
      </c>
      <c r="M113" s="27">
        <f t="shared" si="99"/>
        <v>2173643628906945.7</v>
      </c>
      <c r="N113" s="26">
        <f t="shared" si="100"/>
        <v>9.5693779904306222</v>
      </c>
      <c r="O113" s="29">
        <v>1045</v>
      </c>
      <c r="P113" s="30"/>
      <c r="Q113" s="27">
        <f t="shared" si="101"/>
        <v>519129694221.14197</v>
      </c>
      <c r="R113" s="27">
        <f>0.00000000000076*6.02E+23</f>
        <v>457520000000</v>
      </c>
      <c r="S113" s="20">
        <f t="shared" si="105"/>
        <v>1.4084659886006419E-2</v>
      </c>
      <c r="T113" s="27"/>
    </row>
    <row r="114" spans="4:20" ht="15.75">
      <c r="D114" s="26">
        <f t="shared" si="94"/>
        <v>0.78201856766379474</v>
      </c>
      <c r="E114" s="26">
        <f t="shared" si="95"/>
        <v>-0.10678293525447892</v>
      </c>
      <c r="F114" s="26">
        <f t="shared" si="96"/>
        <v>-2.2261906000486271</v>
      </c>
      <c r="G114" s="27">
        <f t="shared" si="97"/>
        <v>8.7917338949141596E-3</v>
      </c>
      <c r="H114" s="26">
        <f t="shared" si="102"/>
        <v>-0.17026513459152323</v>
      </c>
      <c r="I114" s="26">
        <f t="shared" si="98"/>
        <v>1.18546758069965</v>
      </c>
      <c r="J114" s="31">
        <f t="shared" si="103"/>
        <v>0.45405884614340031</v>
      </c>
      <c r="K114" s="27">
        <f>33.2*101325/8.314/O114/1000000</f>
        <v>3.5680556669250442E-4</v>
      </c>
      <c r="L114" s="28">
        <f t="shared" si="104"/>
        <v>80088190015419.578</v>
      </c>
      <c r="M114" s="27">
        <f t="shared" si="99"/>
        <v>1973383042388732.5</v>
      </c>
      <c r="N114" s="26">
        <f t="shared" si="100"/>
        <v>8.8183421516754859</v>
      </c>
      <c r="O114" s="29">
        <v>1134</v>
      </c>
      <c r="P114" s="30"/>
      <c r="Q114" s="27">
        <f t="shared" si="101"/>
        <v>545831459616.00116</v>
      </c>
      <c r="R114" s="27">
        <f>0.000000000000815*6.02E+23</f>
        <v>490630000000</v>
      </c>
      <c r="S114" s="20">
        <f t="shared" si="105"/>
        <v>1.0227841670928174E-2</v>
      </c>
      <c r="T114" s="27"/>
    </row>
    <row r="115" spans="4:20" ht="15.75">
      <c r="D115" s="26">
        <f t="shared" si="94"/>
        <v>0.78656424610741515</v>
      </c>
      <c r="E115" s="26">
        <f t="shared" si="95"/>
        <v>-0.10426579867272913</v>
      </c>
      <c r="F115" s="26">
        <f t="shared" si="96"/>
        <v>-2.2752753686467284</v>
      </c>
      <c r="G115" s="27">
        <f t="shared" si="97"/>
        <v>7.852171309207916E-3</v>
      </c>
      <c r="H115" s="26">
        <f t="shared" si="102"/>
        <v>-0.17026513459152323</v>
      </c>
      <c r="I115" s="26">
        <f t="shared" si="98"/>
        <v>1.18546758069965</v>
      </c>
      <c r="J115" s="31">
        <f t="shared" si="103"/>
        <v>0.45405884614340031</v>
      </c>
      <c r="K115" s="27">
        <f>35.7*101325/8.314/O115/1000000</f>
        <v>3.5809522536729661E-4</v>
      </c>
      <c r="L115" s="28">
        <f t="shared" si="104"/>
        <v>82905166068163.266</v>
      </c>
      <c r="M115" s="27">
        <f t="shared" si="99"/>
        <v>1817911885638342</v>
      </c>
      <c r="N115" s="26">
        <f t="shared" si="100"/>
        <v>8.2304526748971192</v>
      </c>
      <c r="O115" s="29">
        <v>1215</v>
      </c>
      <c r="P115" s="30"/>
      <c r="Q115" s="27">
        <f t="shared" si="101"/>
        <v>508052654771.49457</v>
      </c>
      <c r="R115" s="27">
        <f>0.000000000000792*6.02E+23</f>
        <v>476784000000</v>
      </c>
      <c r="S115" s="20">
        <f t="shared" si="105"/>
        <v>3.7879212805864569E-3</v>
      </c>
      <c r="T115" s="27"/>
    </row>
    <row r="116" spans="4:20" ht="15.75">
      <c r="D116" s="26">
        <f>10^E116</f>
        <v>0.78077993634068121</v>
      </c>
      <c r="E116" s="26">
        <f>LOG(J116)/(1+(F116/(I116-0.14*F116))^2)</f>
        <v>-0.10747135523952499</v>
      </c>
      <c r="F116" s="26">
        <f>LOG(G116)+H116</f>
        <v>-2.2130989980480122</v>
      </c>
      <c r="G116" s="27">
        <f>M116*K116/L116</f>
        <v>9.0607914932391929E-3</v>
      </c>
      <c r="H116" s="26">
        <f>-0.4-0.67*LOG(J116)</f>
        <v>-0.17026513459152323</v>
      </c>
      <c r="I116" s="26">
        <f>0.75-1.27*LOG(J116)</f>
        <v>1.18546758069965</v>
      </c>
      <c r="J116" s="31">
        <f t="shared" si="103"/>
        <v>0.45405884614340031</v>
      </c>
      <c r="K116" s="27">
        <f>32.7*101325/8.314/O116/1000000</f>
        <v>3.5742051604565641E-4</v>
      </c>
      <c r="L116" s="28">
        <f t="shared" si="104"/>
        <v>79419072727256.312</v>
      </c>
      <c r="M116" s="27">
        <f>$B$7*O116^$B$8*EXP(-$B$9/1.987/O116)</f>
        <v>2013313803386004</v>
      </c>
      <c r="N116" s="26">
        <f>10000/O116</f>
        <v>8.9686098654708513</v>
      </c>
      <c r="O116" s="29">
        <v>1115</v>
      </c>
      <c r="P116" s="30"/>
      <c r="Q116" s="27">
        <f>L116/(1+L116/M116/K116)*D116</f>
        <v>556803891642.75354</v>
      </c>
      <c r="R116" s="27">
        <f>0.000000000000816*6.02E+23</f>
        <v>491232000000</v>
      </c>
      <c r="S116" s="20">
        <f t="shared" si="105"/>
        <v>1.3868545032906141E-2</v>
      </c>
      <c r="T116" s="27"/>
    </row>
    <row r="117" spans="4:20" ht="15.75">
      <c r="D117" s="26">
        <f>10^E117</f>
        <v>0.78779481510304517</v>
      </c>
      <c r="E117" s="26">
        <f>LOG(J117)/(1+(F117/(I117-0.14*F117))^2)</f>
        <v>-0.10358688184059466</v>
      </c>
      <c r="F117" s="26">
        <f>LOG(G117)+H117</f>
        <v>-2.2888537143158443</v>
      </c>
      <c r="G117" s="27">
        <f>M117*K117/L117</f>
        <v>7.6104689825869055E-3</v>
      </c>
      <c r="H117" s="26">
        <f>-0.4-0.67*LOG(J117)</f>
        <v>-0.17026513459152323</v>
      </c>
      <c r="I117" s="26">
        <f>0.75-1.27*LOG(J117)</f>
        <v>1.18546758069965</v>
      </c>
      <c r="J117" s="31">
        <f t="shared" si="103"/>
        <v>0.45405884614340031</v>
      </c>
      <c r="K117" s="27">
        <f>38.5*101325/8.314/O117/1000000</f>
        <v>3.7121049632616026E-4</v>
      </c>
      <c r="L117" s="28">
        <f t="shared" si="104"/>
        <v>84582210747944.609</v>
      </c>
      <c r="M117" s="27">
        <f>$B$7*O117^$B$8*EXP(-$B$9/1.987/O117)</f>
        <v>1734084293807985</v>
      </c>
      <c r="N117" s="26">
        <f>10000/O117</f>
        <v>7.9113924050632916</v>
      </c>
      <c r="O117" s="29">
        <v>1264</v>
      </c>
      <c r="P117" s="30"/>
      <c r="Q117" s="27">
        <f>L117/(1+L117/M117/K117)*D117</f>
        <v>503281422320.29315</v>
      </c>
      <c r="R117" s="27">
        <f>0.000000000000814*6.02E+23</f>
        <v>490028000000</v>
      </c>
      <c r="S117" s="20">
        <f t="shared" si="105"/>
        <v>6.9348053393779123E-4</v>
      </c>
      <c r="T117" s="27"/>
    </row>
    <row r="118" spans="4:20">
      <c r="D118" s="2" t="s">
        <v>4</v>
      </c>
      <c r="E118" s="2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P118">
        <f>760*40</f>
        <v>30400</v>
      </c>
      <c r="Q118" t="s">
        <v>16</v>
      </c>
    </row>
    <row r="119" spans="4:20" ht="15.75">
      <c r="D119" s="2">
        <f t="shared" ref="D119:D131" si="106">10^E119</f>
        <v>0.5481296854920843</v>
      </c>
      <c r="E119" s="2">
        <f t="shared" ref="E119:E129" si="107">LOG(J119)/(1+(F119/(I119-0.14*F119))^2)</f>
        <v>-0.26111667686177037</v>
      </c>
      <c r="F119" s="2">
        <f t="shared" ref="F119:F129" si="108">LOG(G119)+H119</f>
        <v>-0.71978716045475966</v>
      </c>
      <c r="G119" s="6">
        <f t="shared" ref="G119:G129" si="109">M119*K119/L119</f>
        <v>0.28214864837562881</v>
      </c>
      <c r="H119" s="2">
        <f>-0.4-0.67*LOG(J119)</f>
        <v>-0.17026513459152323</v>
      </c>
      <c r="I119" s="2">
        <f t="shared" ref="I119:I129" si="110">0.75-1.27*LOG(J119)</f>
        <v>1.18546758069965</v>
      </c>
      <c r="J119" s="4">
        <f>(1-$B$10)*EXP(-O119/$B$11)+$B$10*EXP(-O119/$B$12)+EXP(-B$13/O119)</f>
        <v>0.45405884614340031</v>
      </c>
      <c r="K119" s="6">
        <f>$P$118*101325/760/8.314/O119/1000000</f>
        <v>1.6249699302381525E-3</v>
      </c>
      <c r="L119" s="9">
        <f>B$4*O119^B$5*EXP(-B$6/1.987/O119)</f>
        <v>48271057302442.148</v>
      </c>
      <c r="M119" s="6">
        <f t="shared" ref="M119:M129" si="111">$B$7*O119^$B$8*EXP(-$B$9/1.987/O119)</f>
        <v>8381455755030811</v>
      </c>
      <c r="N119" s="2">
        <f t="shared" ref="N119:N129" si="112">10000/O119</f>
        <v>33.333333333333336</v>
      </c>
      <c r="O119" s="12">
        <v>300</v>
      </c>
      <c r="P119" s="13"/>
      <c r="Q119" s="6">
        <f t="shared" ref="Q119:Q129" si="113">L119/(1+L119/M119/K119)*D119</f>
        <v>5822503119314.374</v>
      </c>
      <c r="R119" s="6"/>
      <c r="S119" s="6"/>
      <c r="T119" s="6"/>
    </row>
    <row r="120" spans="4:20" ht="15.75">
      <c r="D120" s="37">
        <f t="shared" si="106"/>
        <v>0.60437496951903935</v>
      </c>
      <c r="E120" s="37">
        <f t="shared" si="107"/>
        <v>-0.21869353047606827</v>
      </c>
      <c r="F120" s="37">
        <f t="shared" si="108"/>
        <v>-0.99871886135432275</v>
      </c>
      <c r="G120" s="20">
        <f t="shared" si="109"/>
        <v>0.14843840298870009</v>
      </c>
      <c r="H120" s="37">
        <f t="shared" ref="H120:H129" si="114">-0.4-0.67*LOG(J120)</f>
        <v>-0.17026513459152323</v>
      </c>
      <c r="I120" s="37">
        <f t="shared" si="110"/>
        <v>1.18546758069965</v>
      </c>
      <c r="J120" s="20">
        <f t="shared" ref="J120:J131" si="115">(1-$B$10)*EXP(-O120/$B$11)+$B$10*EXP(-O120/$B$12)+EXP(-B$13/O120)</f>
        <v>0.45405884614340031</v>
      </c>
      <c r="K120" s="20">
        <f>$P$118*101325/760/8.314/O120/1000000</f>
        <v>1.2187274476786144E-3</v>
      </c>
      <c r="L120" s="38">
        <f t="shared" ref="L120:L131" si="116">B$4*O120^B$5*EXP(-B$6/1.987/O120)</f>
        <v>51915144096005.555</v>
      </c>
      <c r="M120" s="20">
        <f t="shared" si="111"/>
        <v>6323153790634473</v>
      </c>
      <c r="N120" s="37">
        <f t="shared" si="112"/>
        <v>25</v>
      </c>
      <c r="O120" s="39">
        <v>400</v>
      </c>
      <c r="P120" s="40"/>
      <c r="Q120" s="20">
        <f t="shared" si="113"/>
        <v>4055450454319.541</v>
      </c>
      <c r="R120" s="20">
        <f>0.0000000000066*6.02E+23</f>
        <v>3973200000000</v>
      </c>
      <c r="S120" s="20">
        <f t="shared" ref="S120:S131" si="117">(R120-Q120)^2/Q120^2</f>
        <v>4.1133760121053189E-4</v>
      </c>
      <c r="T120" s="20"/>
    </row>
    <row r="121" spans="4:20" ht="15.75">
      <c r="D121" s="26">
        <f t="shared" si="106"/>
        <v>0.7918838913812708</v>
      </c>
      <c r="E121" s="26">
        <f t="shared" si="107"/>
        <v>-0.10133849142691916</v>
      </c>
      <c r="F121" s="26">
        <f t="shared" si="108"/>
        <v>-2.3349054082508265</v>
      </c>
      <c r="G121" s="27">
        <f t="shared" si="109"/>
        <v>6.844783663218593E-3</v>
      </c>
      <c r="H121" s="26">
        <f t="shared" si="114"/>
        <v>-0.17026513459152323</v>
      </c>
      <c r="I121" s="26">
        <f t="shared" si="110"/>
        <v>1.18546758069965</v>
      </c>
      <c r="J121" s="31">
        <f t="shared" si="115"/>
        <v>0.45405884614340031</v>
      </c>
      <c r="K121" s="27">
        <f>38.7*101325/8.314/O121/1000000</f>
        <v>3.5812264407868166E-4</v>
      </c>
      <c r="L121" s="28">
        <f t="shared" si="116"/>
        <v>86374146992233.531</v>
      </c>
      <c r="M121" s="27">
        <f t="shared" si="111"/>
        <v>1650865590412061.7</v>
      </c>
      <c r="N121" s="26">
        <f t="shared" si="112"/>
        <v>7.5930144267274109</v>
      </c>
      <c r="O121" s="29">
        <v>1317</v>
      </c>
      <c r="P121" s="30"/>
      <c r="Q121" s="27">
        <f t="shared" si="113"/>
        <v>464988788888.32349</v>
      </c>
      <c r="R121" s="27">
        <f>0.000000000000745*6.02E+23</f>
        <v>448490000000</v>
      </c>
      <c r="S121" s="20">
        <f t="shared" si="117"/>
        <v>1.2589809743516586E-3</v>
      </c>
      <c r="T121" s="27"/>
    </row>
    <row r="122" spans="4:20" ht="15.75">
      <c r="D122" s="26">
        <f t="shared" si="106"/>
        <v>0.78026137929605188</v>
      </c>
      <c r="E122" s="26">
        <f t="shared" si="107"/>
        <v>-0.10775988888570383</v>
      </c>
      <c r="F122" s="26">
        <f t="shared" si="108"/>
        <v>-2.2076531314146686</v>
      </c>
      <c r="G122" s="27">
        <f t="shared" si="109"/>
        <v>9.1751252846686473E-3</v>
      </c>
      <c r="H122" s="26">
        <f t="shared" si="114"/>
        <v>-0.17026513459152323</v>
      </c>
      <c r="I122" s="26">
        <f t="shared" si="110"/>
        <v>1.18546758069965</v>
      </c>
      <c r="J122" s="31">
        <f t="shared" si="115"/>
        <v>0.45405884614340031</v>
      </c>
      <c r="K122" s="27">
        <f>31.7*101325/8.314/O122/1000000</f>
        <v>3.5217557056893409E-4</v>
      </c>
      <c r="L122" s="28">
        <f t="shared" si="116"/>
        <v>78782169838199.766</v>
      </c>
      <c r="M122" s="27">
        <f t="shared" si="111"/>
        <v>2052488414502447.5</v>
      </c>
      <c r="N122" s="26">
        <f t="shared" si="112"/>
        <v>9.115770282588878</v>
      </c>
      <c r="O122" s="29">
        <v>1097</v>
      </c>
      <c r="P122" s="30"/>
      <c r="Q122" s="27">
        <f t="shared" si="113"/>
        <v>558873497283.32068</v>
      </c>
      <c r="R122" s="27">
        <f>0.000000000000847*6.02E+23</f>
        <v>509894000000</v>
      </c>
      <c r="S122" s="20">
        <f t="shared" si="117"/>
        <v>7.6807143952298887E-3</v>
      </c>
      <c r="T122" s="27"/>
    </row>
    <row r="123" spans="4:20" ht="15.75">
      <c r="D123" s="26">
        <f t="shared" si="106"/>
        <v>0.74623149592163729</v>
      </c>
      <c r="E123" s="26">
        <f t="shared" si="107"/>
        <v>-0.12712642479893715</v>
      </c>
      <c r="F123" s="26">
        <f t="shared" si="108"/>
        <v>-1.8889114071681192</v>
      </c>
      <c r="G123" s="27">
        <f t="shared" si="109"/>
        <v>1.9114094438177933E-2</v>
      </c>
      <c r="H123" s="26">
        <f t="shared" si="114"/>
        <v>-0.17026513459152323</v>
      </c>
      <c r="I123" s="26">
        <f t="shared" si="110"/>
        <v>1.18546758069965</v>
      </c>
      <c r="J123" s="31">
        <f t="shared" si="115"/>
        <v>0.45405884614340031</v>
      </c>
      <c r="K123" s="27">
        <f>67.5*101325/8.314/O123/1000000</f>
        <v>7.437983970913786E-4</v>
      </c>
      <c r="L123" s="28">
        <f t="shared" si="116"/>
        <v>79100988647881.641</v>
      </c>
      <c r="M123" s="27">
        <f t="shared" si="111"/>
        <v>2032733295851808.7</v>
      </c>
      <c r="N123" s="26">
        <f t="shared" si="112"/>
        <v>9.0415913200723335</v>
      </c>
      <c r="O123" s="29">
        <v>1106</v>
      </c>
      <c r="P123" s="30"/>
      <c r="Q123" s="27">
        <f t="shared" si="113"/>
        <v>1107098866830.8032</v>
      </c>
      <c r="R123" s="27">
        <f>0.00000000000146*6.02E+23</f>
        <v>878920000000</v>
      </c>
      <c r="S123" s="20">
        <f t="shared" si="117"/>
        <v>4.2479365926399573E-2</v>
      </c>
      <c r="T123" s="27"/>
    </row>
    <row r="124" spans="4:20" ht="15.75">
      <c r="D124" s="26">
        <f t="shared" si="106"/>
        <v>0.75583858285547945</v>
      </c>
      <c r="E124" s="26">
        <f t="shared" si="107"/>
        <v>-0.1215709426736372</v>
      </c>
      <c r="F124" s="26">
        <f t="shared" si="108"/>
        <v>-1.9719913826578641</v>
      </c>
      <c r="G124" s="27">
        <f t="shared" si="109"/>
        <v>1.5786060101241006E-2</v>
      </c>
      <c r="H124" s="26">
        <f t="shared" si="114"/>
        <v>-0.17026513459152323</v>
      </c>
      <c r="I124" s="26">
        <f t="shared" si="110"/>
        <v>1.18546758069965</v>
      </c>
      <c r="J124" s="31">
        <f t="shared" si="115"/>
        <v>0.45405884614340031</v>
      </c>
      <c r="K124" s="27">
        <f>73.7*101325/8.314/O124/1000000</f>
        <v>7.3203107493002352E-4</v>
      </c>
      <c r="L124" s="28">
        <f t="shared" si="116"/>
        <v>83317716478162.594</v>
      </c>
      <c r="M124" s="27">
        <f t="shared" si="111"/>
        <v>1796724927214546.7</v>
      </c>
      <c r="N124" s="26">
        <f t="shared" si="112"/>
        <v>8.1499592502037483</v>
      </c>
      <c r="O124" s="29">
        <v>1227</v>
      </c>
      <c r="P124" s="30"/>
      <c r="Q124" s="27">
        <f t="shared" si="113"/>
        <v>978673703573.52417</v>
      </c>
      <c r="R124" s="27">
        <f>0.0000000000015*6.02E+23</f>
        <v>903000000000</v>
      </c>
      <c r="S124" s="20">
        <f t="shared" si="117"/>
        <v>5.9788015777356464E-3</v>
      </c>
      <c r="T124" s="27"/>
    </row>
    <row r="125" spans="4:20" ht="15.75">
      <c r="D125" s="26">
        <f t="shared" si="106"/>
        <v>0.74834565351815385</v>
      </c>
      <c r="E125" s="26">
        <f t="shared" si="107"/>
        <v>-0.12589775943256182</v>
      </c>
      <c r="F125" s="26">
        <f t="shared" si="108"/>
        <v>-1.9067887612685979</v>
      </c>
      <c r="G125" s="27">
        <f t="shared" si="109"/>
        <v>1.8343253726374149E-2</v>
      </c>
      <c r="H125" s="26">
        <f t="shared" si="114"/>
        <v>-0.17026513459152323</v>
      </c>
      <c r="I125" s="26">
        <f t="shared" si="110"/>
        <v>1.18546758069965</v>
      </c>
      <c r="J125" s="31">
        <f t="shared" si="115"/>
        <v>0.45405884614340031</v>
      </c>
      <c r="K125" s="27">
        <f>66.2*101325/8.314/O125/1000000</f>
        <v>7.2358526489976933E-4</v>
      </c>
      <c r="L125" s="28">
        <f t="shared" si="116"/>
        <v>79419072727256.312</v>
      </c>
      <c r="M125" s="27">
        <f t="shared" si="111"/>
        <v>2013313803386004</v>
      </c>
      <c r="N125" s="26">
        <f t="shared" si="112"/>
        <v>8.9686098654708513</v>
      </c>
      <c r="O125" s="29">
        <v>1115</v>
      </c>
      <c r="P125" s="30"/>
      <c r="Q125" s="27">
        <f t="shared" si="113"/>
        <v>1070555619057.5961</v>
      </c>
      <c r="R125" s="27">
        <f>0.00000000000153*6.02E+23</f>
        <v>921060000000</v>
      </c>
      <c r="S125" s="20">
        <f t="shared" si="117"/>
        <v>1.9500172861085199E-2</v>
      </c>
      <c r="T125" s="27"/>
    </row>
    <row r="126" spans="4:20" ht="15.75">
      <c r="D126" s="26">
        <f t="shared" si="106"/>
        <v>0.75780464918567447</v>
      </c>
      <c r="E126" s="26">
        <f t="shared" si="107"/>
        <v>-0.12044273462517177</v>
      </c>
      <c r="F126" s="26">
        <f t="shared" si="108"/>
        <v>-1.9895993296235701</v>
      </c>
      <c r="G126" s="27">
        <f t="shared" si="109"/>
        <v>1.5158834272851576E-2</v>
      </c>
      <c r="H126" s="26">
        <f t="shared" si="114"/>
        <v>-0.17026513459152323</v>
      </c>
      <c r="I126" s="26">
        <f t="shared" si="110"/>
        <v>1.18546758069965</v>
      </c>
      <c r="J126" s="31">
        <f t="shared" si="115"/>
        <v>0.45405884614340031</v>
      </c>
      <c r="K126" s="27">
        <f>67.1*101325/8.314/O126/1000000</f>
        <v>6.7977233365947639E-4</v>
      </c>
      <c r="L126" s="28">
        <f t="shared" si="116"/>
        <v>82491401618577.031</v>
      </c>
      <c r="M126" s="27">
        <f t="shared" si="111"/>
        <v>1839547483992867</v>
      </c>
      <c r="N126" s="26">
        <f t="shared" si="112"/>
        <v>8.3125519534497094</v>
      </c>
      <c r="O126" s="29">
        <v>1203</v>
      </c>
      <c r="P126" s="30"/>
      <c r="Q126" s="27">
        <f t="shared" si="113"/>
        <v>933464389448.94543</v>
      </c>
      <c r="R126" s="27">
        <f>0.00000000000132*6.02E+23</f>
        <v>794640000000</v>
      </c>
      <c r="S126" s="20">
        <f t="shared" si="117"/>
        <v>2.2117499934813819E-2</v>
      </c>
      <c r="T126" s="27"/>
    </row>
    <row r="127" spans="4:20" ht="15.75">
      <c r="D127" s="26">
        <f t="shared" si="106"/>
        <v>0.74209597519281822</v>
      </c>
      <c r="E127" s="26">
        <f t="shared" si="107"/>
        <v>-0.12953992382987772</v>
      </c>
      <c r="F127" s="26">
        <f t="shared" si="108"/>
        <v>-1.8545663146885374</v>
      </c>
      <c r="G127" s="27">
        <f t="shared" si="109"/>
        <v>2.0687062183510033E-2</v>
      </c>
      <c r="H127" s="26">
        <f t="shared" si="114"/>
        <v>-0.17026513459152323</v>
      </c>
      <c r="I127" s="26">
        <f t="shared" si="110"/>
        <v>1.18546758069965</v>
      </c>
      <c r="J127" s="31">
        <f t="shared" si="115"/>
        <v>0.45405884614340031</v>
      </c>
      <c r="K127" s="27">
        <f>92.6*101325/8.314/O127/1000000</f>
        <v>9.342231925086068E-4</v>
      </c>
      <c r="L127" s="28">
        <f t="shared" si="116"/>
        <v>82663951655718.766</v>
      </c>
      <c r="M127" s="27">
        <f t="shared" si="111"/>
        <v>1830477258485280.7</v>
      </c>
      <c r="N127" s="26">
        <f t="shared" si="112"/>
        <v>8.2781456953642376</v>
      </c>
      <c r="O127" s="29">
        <v>1208</v>
      </c>
      <c r="P127" s="30"/>
      <c r="Q127" s="27">
        <f t="shared" si="113"/>
        <v>1243318651172.2471</v>
      </c>
      <c r="R127" s="27">
        <f>0.00000000000149*6.02E+23</f>
        <v>896980000000</v>
      </c>
      <c r="S127" s="20">
        <f t="shared" si="117"/>
        <v>7.7595587432873217E-2</v>
      </c>
      <c r="T127" s="27"/>
    </row>
    <row r="128" spans="4:20" ht="15.75">
      <c r="D128" s="26">
        <f t="shared" si="106"/>
        <v>0.73492962674948825</v>
      </c>
      <c r="E128" s="26">
        <f t="shared" si="107"/>
        <v>-0.13375424483089604</v>
      </c>
      <c r="F128" s="26">
        <f t="shared" si="108"/>
        <v>-1.7969057306017897</v>
      </c>
      <c r="G128" s="27">
        <f t="shared" si="109"/>
        <v>2.3624324749744772E-2</v>
      </c>
      <c r="H128" s="26">
        <f t="shared" si="114"/>
        <v>-0.17026513459152323</v>
      </c>
      <c r="I128" s="26">
        <f t="shared" si="110"/>
        <v>1.18546758069965</v>
      </c>
      <c r="J128" s="31">
        <f t="shared" si="115"/>
        <v>0.45405884614340031</v>
      </c>
      <c r="K128" s="27">
        <f>92.2*101325/8.314/O128/1000000</f>
        <v>9.7880375153282435E-4</v>
      </c>
      <c r="L128" s="28">
        <f t="shared" si="116"/>
        <v>80579164243912.5</v>
      </c>
      <c r="M128" s="27">
        <f t="shared" si="111"/>
        <v>1944851908444460.5</v>
      </c>
      <c r="N128" s="26">
        <f t="shared" si="112"/>
        <v>8.7108013937282234</v>
      </c>
      <c r="O128" s="29">
        <v>1148</v>
      </c>
      <c r="P128" s="30"/>
      <c r="Q128" s="27">
        <f t="shared" si="113"/>
        <v>1366744453621.8696</v>
      </c>
      <c r="R128" s="27">
        <f>0.00000000000161*6.02E+23</f>
        <v>969220000000</v>
      </c>
      <c r="S128" s="20">
        <f t="shared" si="117"/>
        <v>8.4596629136826057E-2</v>
      </c>
      <c r="T128" s="27"/>
    </row>
    <row r="129" spans="4:20" ht="15.75">
      <c r="D129" s="26">
        <f t="shared" si="106"/>
        <v>0.7350224396953402</v>
      </c>
      <c r="E129" s="26">
        <f t="shared" si="107"/>
        <v>-0.1336994020217917</v>
      </c>
      <c r="F129" s="26">
        <f t="shared" si="108"/>
        <v>-1.7976381321486601</v>
      </c>
      <c r="G129" s="27">
        <f t="shared" si="109"/>
        <v>2.3584517864551728E-2</v>
      </c>
      <c r="H129" s="26">
        <f t="shared" si="114"/>
        <v>-0.17026513459152323</v>
      </c>
      <c r="I129" s="26">
        <f t="shared" si="110"/>
        <v>1.18546758069965</v>
      </c>
      <c r="J129" s="31">
        <f t="shared" si="115"/>
        <v>0.45405884614340031</v>
      </c>
      <c r="K129" s="27">
        <f>91.4*101325/8.314/O129/1000000</f>
        <v>9.728531765748939E-4</v>
      </c>
      <c r="L129" s="28">
        <f t="shared" si="116"/>
        <v>80474101619727</v>
      </c>
      <c r="M129" s="27">
        <f t="shared" si="111"/>
        <v>1950903726260374.5</v>
      </c>
      <c r="N129" s="26">
        <f t="shared" si="112"/>
        <v>8.7336244541484724</v>
      </c>
      <c r="O129" s="29">
        <v>1145</v>
      </c>
      <c r="P129" s="30"/>
      <c r="Q129" s="27">
        <f t="shared" si="113"/>
        <v>1362887565283.2546</v>
      </c>
      <c r="R129" s="27">
        <f>0.00000000000167*6.02E+23</f>
        <v>1005340000000</v>
      </c>
      <c r="S129" s="20">
        <f t="shared" si="117"/>
        <v>6.8825217395265842E-2</v>
      </c>
      <c r="T129" s="27"/>
    </row>
    <row r="130" spans="4:20" ht="15.75">
      <c r="D130" s="26">
        <f t="shared" si="106"/>
        <v>0.74086975657109932</v>
      </c>
      <c r="E130" s="26">
        <f>LOG(J130)/(1+(F130/(I130-0.14*F130))^2)</f>
        <v>-0.13025813341622366</v>
      </c>
      <c r="F130" s="26">
        <f>LOG(G130)+H130</f>
        <v>-1.8445368944750375</v>
      </c>
      <c r="G130" s="27">
        <f>M130*K130/L130</f>
        <v>2.117035984874268E-2</v>
      </c>
      <c r="H130" s="26">
        <f>-0.4-0.67*LOG(J130)</f>
        <v>-0.17026513459152323</v>
      </c>
      <c r="I130" s="26">
        <f>0.75-1.27*LOG(J130)</f>
        <v>1.18546758069965</v>
      </c>
      <c r="J130" s="31">
        <f t="shared" si="115"/>
        <v>0.45405884614340031</v>
      </c>
      <c r="K130" s="27">
        <f>93.5*101325/8.314/O130/1000000</f>
        <v>9.4801178334401369E-4</v>
      </c>
      <c r="L130" s="28">
        <f t="shared" si="116"/>
        <v>82456866132649.703</v>
      </c>
      <c r="M130" s="27">
        <f>$B$7*O130^$B$8*EXP(-$B$9/1.987/O130)</f>
        <v>1841371129238739</v>
      </c>
      <c r="N130" s="26">
        <f>10000/O130</f>
        <v>8.3194675540765388</v>
      </c>
      <c r="O130" s="29">
        <v>1202</v>
      </c>
      <c r="P130" s="30"/>
      <c r="Q130" s="27">
        <f>L130/(1+L130/M130/K130)*D130</f>
        <v>1266481152196.7017</v>
      </c>
      <c r="R130" s="27">
        <f>0.0000000000015*6.02E+23</f>
        <v>903000000000</v>
      </c>
      <c r="S130" s="20">
        <f t="shared" si="117"/>
        <v>8.2369481105632858E-2</v>
      </c>
      <c r="T130" s="27"/>
    </row>
    <row r="131" spans="4:20" ht="15.75">
      <c r="D131" s="26">
        <f t="shared" si="106"/>
        <v>0.73482004338592544</v>
      </c>
      <c r="E131" s="26">
        <f>LOG(J131)/(1+(F131/(I131-0.14*F131))^2)</f>
        <v>-0.13381900613162495</v>
      </c>
      <c r="F131" s="26">
        <f>LOG(G131)+H131</f>
        <v>-1.7960414626491412</v>
      </c>
      <c r="G131" s="27">
        <f>M131*K131/L131</f>
        <v>2.367138515988787E-2</v>
      </c>
      <c r="H131" s="26">
        <f>-0.4-0.67*LOG(J131)</f>
        <v>-0.17026513459152323</v>
      </c>
      <c r="I131" s="26">
        <f>0.75-1.27*LOG(J131)</f>
        <v>1.18546758069965</v>
      </c>
      <c r="J131" s="31">
        <f t="shared" si="115"/>
        <v>0.45405884614340031</v>
      </c>
      <c r="K131" s="27">
        <f>92.6*101325/8.314/O131/1000000</f>
        <v>9.8219461840765607E-4</v>
      </c>
      <c r="L131" s="28">
        <f t="shared" si="116"/>
        <v>80614167463776.062</v>
      </c>
      <c r="M131" s="27">
        <f>$B$7*O131^$B$8*EXP(-$B$9/1.987/O131)</f>
        <v>1942842051478979.7</v>
      </c>
      <c r="N131" s="26">
        <f>10000/O131</f>
        <v>8.7032201914708445</v>
      </c>
      <c r="O131" s="29">
        <v>1149</v>
      </c>
      <c r="P131" s="30"/>
      <c r="Q131" s="27">
        <f>L131/(1+L131/M131/K131)*D131</f>
        <v>1369794680911.3789</v>
      </c>
      <c r="R131" s="27">
        <f>0.00000000000163*6.02E+23</f>
        <v>981260000000</v>
      </c>
      <c r="S131" s="20">
        <f t="shared" si="117"/>
        <v>8.0454183139898383E-2</v>
      </c>
      <c r="T131" s="27"/>
    </row>
    <row r="132" spans="4:20">
      <c r="D132" s="2" t="s">
        <v>4</v>
      </c>
      <c r="E132" s="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10</v>
      </c>
      <c r="K132" t="s">
        <v>11</v>
      </c>
      <c r="L132" t="s">
        <v>12</v>
      </c>
      <c r="M132" t="s">
        <v>13</v>
      </c>
      <c r="N132" t="s">
        <v>14</v>
      </c>
      <c r="P132">
        <f>760*50</f>
        <v>38000</v>
      </c>
      <c r="Q132" t="s">
        <v>16</v>
      </c>
      <c r="R132" s="6"/>
      <c r="S132" s="6"/>
      <c r="T132" s="6"/>
    </row>
    <row r="133" spans="4:20" ht="15.75">
      <c r="D133" s="2">
        <f t="shared" ref="D133:D145" si="118">10^E133</f>
        <v>0.52890087254341656</v>
      </c>
      <c r="E133" s="2">
        <f t="shared" ref="E133:E143" si="119">LOG(J133)/(1+(F133/(I133-0.14*F133))^2)</f>
        <v>-0.27662571651196949</v>
      </c>
      <c r="F133" s="2">
        <f t="shared" ref="F133:F143" si="120">LOG(G133)+H133</f>
        <v>-0.62287714744670331</v>
      </c>
      <c r="G133" s="6">
        <f t="shared" ref="G133:G143" si="121">M133*K133/L133</f>
        <v>0.35268581046953601</v>
      </c>
      <c r="H133" s="2">
        <f>-0.4-0.67*LOG(J133)</f>
        <v>-0.17026513459152323</v>
      </c>
      <c r="I133" s="2">
        <f t="shared" ref="I133:I143" si="122">0.75-1.27*LOG(J133)</f>
        <v>1.18546758069965</v>
      </c>
      <c r="J133" s="4">
        <f>(1-$B$10)*EXP(-O133/$B$11)+$B$10*EXP(-O133/$B$12)+EXP(-B$13/O133)</f>
        <v>0.45405884614340031</v>
      </c>
      <c r="K133" s="6">
        <f>$P$132*101325/760/8.314/O133/1000000</f>
        <v>2.0312124127976907E-3</v>
      </c>
      <c r="L133" s="9">
        <f>B$4*O133^B$5*EXP(-B$6/1.987/O133)</f>
        <v>48271057302442.148</v>
      </c>
      <c r="M133" s="6">
        <f t="shared" ref="M133:M143" si="123">$B$7*O133^$B$8*EXP(-$B$9/1.987/O133)</f>
        <v>8381455755030811</v>
      </c>
      <c r="N133" s="2">
        <f t="shared" ref="N133:N143" si="124">10000/O133</f>
        <v>33.333333333333336</v>
      </c>
      <c r="O133" s="12">
        <v>300</v>
      </c>
      <c r="P133" s="13"/>
      <c r="Q133" s="6">
        <f t="shared" ref="Q133:Q143" si="125">L133/(1+L133/M133/K133)*D133</f>
        <v>6656595203963.6396</v>
      </c>
      <c r="R133" s="6"/>
    </row>
    <row r="134" spans="4:20" ht="15.75">
      <c r="D134" s="2">
        <f t="shared" si="118"/>
        <v>0.58501070357576723</v>
      </c>
      <c r="E134" s="2">
        <f t="shared" si="119"/>
        <v>-0.2328361878300132</v>
      </c>
      <c r="F134" s="2">
        <f t="shared" si="120"/>
        <v>-0.9018088483462664</v>
      </c>
      <c r="G134" s="6">
        <f t="shared" si="121"/>
        <v>0.1855480037358751</v>
      </c>
      <c r="H134" s="2">
        <f t="shared" ref="H134:H143" si="126">-0.4-0.67*LOG(J134)</f>
        <v>-0.17026513459152323</v>
      </c>
      <c r="I134" s="2">
        <f t="shared" si="122"/>
        <v>1.18546758069965</v>
      </c>
      <c r="J134" s="4">
        <f t="shared" ref="J134:J145" si="127">(1-$B$10)*EXP(-O134/$B$11)+$B$10*EXP(-O134/$B$12)+EXP(-B$13/O134)</f>
        <v>0.45405884614340031</v>
      </c>
      <c r="K134" s="6">
        <f t="shared" ref="K134:K145" si="128">$P$132*101325/760/8.314/O134/1000000</f>
        <v>1.5234093095982679E-3</v>
      </c>
      <c r="L134" s="9">
        <f t="shared" ref="L134:L145" si="129">B$4*O134^B$5*EXP(-B$6/1.987/O134)</f>
        <v>51915144096005.555</v>
      </c>
      <c r="M134" s="6">
        <f t="shared" si="123"/>
        <v>6323153790634473</v>
      </c>
      <c r="N134" s="2">
        <f t="shared" si="124"/>
        <v>25</v>
      </c>
      <c r="O134" s="12">
        <v>400</v>
      </c>
      <c r="P134" s="13"/>
      <c r="Q134" s="6">
        <f t="shared" si="125"/>
        <v>4753297738489.3486</v>
      </c>
      <c r="R134" s="6"/>
      <c r="S134" s="6"/>
      <c r="T134" s="6"/>
    </row>
    <row r="135" spans="4:20" ht="15.75">
      <c r="D135" s="37">
        <f t="shared" si="118"/>
        <v>0.63018749562308574</v>
      </c>
      <c r="E135" s="37">
        <f t="shared" si="119"/>
        <v>-0.2005302184831407</v>
      </c>
      <c r="F135" s="37">
        <f t="shared" si="120"/>
        <v>-1.1324030801014535</v>
      </c>
      <c r="G135" s="20">
        <f t="shared" si="121"/>
        <v>0.10910937159149856</v>
      </c>
      <c r="H135" s="37">
        <f t="shared" si="126"/>
        <v>-0.17026513459152323</v>
      </c>
      <c r="I135" s="37">
        <f t="shared" si="122"/>
        <v>1.18546758069965</v>
      </c>
      <c r="J135" s="20">
        <f t="shared" si="127"/>
        <v>0.45405884614340031</v>
      </c>
      <c r="K135" s="20">
        <f t="shared" si="128"/>
        <v>1.2187274476786144E-3</v>
      </c>
      <c r="L135" s="38">
        <f t="shared" si="129"/>
        <v>55914419404048.281</v>
      </c>
      <c r="M135" s="20">
        <f t="shared" si="123"/>
        <v>5005866714251614</v>
      </c>
      <c r="N135" s="37">
        <f t="shared" si="124"/>
        <v>20</v>
      </c>
      <c r="O135" s="39">
        <v>500</v>
      </c>
      <c r="P135" s="40"/>
      <c r="Q135" s="20">
        <f t="shared" si="125"/>
        <v>3466420790173.0513</v>
      </c>
      <c r="R135" s="20">
        <f>0.0000000000057*6.02E+23</f>
        <v>3431400000000</v>
      </c>
      <c r="S135" s="20">
        <f>(R135-Q135)^2/Q135^2</f>
        <v>1.0206793306723232E-4</v>
      </c>
      <c r="T135" s="20"/>
    </row>
    <row r="136" spans="4:20" ht="15.75">
      <c r="D136" s="2">
        <f t="shared" si="118"/>
        <v>0.66536552060149023</v>
      </c>
      <c r="E136" s="2">
        <f t="shared" si="119"/>
        <v>-0.17693970812678309</v>
      </c>
      <c r="F136" s="2">
        <f t="shared" si="120"/>
        <v>-1.3281262651132952</v>
      </c>
      <c r="G136" s="6">
        <f t="shared" si="121"/>
        <v>6.9524659325932089E-2</v>
      </c>
      <c r="H136" s="2">
        <f t="shared" si="126"/>
        <v>-0.17026513459152323</v>
      </c>
      <c r="I136" s="2">
        <f t="shared" si="122"/>
        <v>1.18546758069965</v>
      </c>
      <c r="J136" s="4">
        <f t="shared" si="127"/>
        <v>0.45405884614340031</v>
      </c>
      <c r="K136" s="6">
        <f t="shared" si="128"/>
        <v>1.0156062063988453E-3</v>
      </c>
      <c r="L136" s="9">
        <f t="shared" si="129"/>
        <v>59954213423504.078</v>
      </c>
      <c r="M136" s="6">
        <f t="shared" si="123"/>
        <v>4104244575467262</v>
      </c>
      <c r="N136" s="2">
        <f t="shared" si="124"/>
        <v>16.666666666666668</v>
      </c>
      <c r="O136" s="12">
        <v>600</v>
      </c>
      <c r="P136" s="13"/>
      <c r="Q136" s="6">
        <f t="shared" si="125"/>
        <v>2593152564693.4419</v>
      </c>
      <c r="R136" s="6"/>
    </row>
    <row r="137" spans="4:20" ht="15.75">
      <c r="D137" s="2">
        <f t="shared" si="118"/>
        <v>0.69296642319161439</v>
      </c>
      <c r="E137" s="2">
        <f t="shared" si="119"/>
        <v>-0.15928780806622736</v>
      </c>
      <c r="F137" s="2">
        <f t="shared" si="120"/>
        <v>-1.4978616553575119</v>
      </c>
      <c r="G137" s="6">
        <f t="shared" si="121"/>
        <v>4.703308643555297E-2</v>
      </c>
      <c r="H137" s="2">
        <f t="shared" si="126"/>
        <v>-0.17026513459152323</v>
      </c>
      <c r="I137" s="2">
        <f t="shared" si="122"/>
        <v>1.18546758069965</v>
      </c>
      <c r="J137" s="4">
        <f t="shared" si="127"/>
        <v>0.45405884614340031</v>
      </c>
      <c r="K137" s="6">
        <f t="shared" si="128"/>
        <v>8.7051960548472458E-4</v>
      </c>
      <c r="L137" s="9">
        <f t="shared" si="129"/>
        <v>63935043186733.742</v>
      </c>
      <c r="M137" s="6">
        <f t="shared" si="123"/>
        <v>3454330486661539.5</v>
      </c>
      <c r="N137" s="2">
        <f t="shared" si="124"/>
        <v>14.285714285714286</v>
      </c>
      <c r="O137" s="12">
        <v>700</v>
      </c>
      <c r="P137" s="13"/>
      <c r="Q137" s="6">
        <f t="shared" si="125"/>
        <v>1990188573096.5579</v>
      </c>
      <c r="R137" s="6"/>
    </row>
    <row r="138" spans="4:20" ht="15.75">
      <c r="D138" s="2">
        <f t="shared" si="118"/>
        <v>0.71501201184898688</v>
      </c>
      <c r="E138" s="2">
        <f t="shared" si="119"/>
        <v>-0.14568666220463491</v>
      </c>
      <c r="F138" s="2">
        <f t="shared" si="120"/>
        <v>-1.6475850489861847</v>
      </c>
      <c r="G138" s="6">
        <f t="shared" si="121"/>
        <v>3.3318089126642955E-2</v>
      </c>
      <c r="H138" s="2">
        <f t="shared" si="126"/>
        <v>-0.17026513459152323</v>
      </c>
      <c r="I138" s="2">
        <f t="shared" si="122"/>
        <v>1.18546758069965</v>
      </c>
      <c r="J138" s="4">
        <f t="shared" si="127"/>
        <v>0.45405884614340031</v>
      </c>
      <c r="K138" s="6">
        <f t="shared" si="128"/>
        <v>7.6170465479913395E-4</v>
      </c>
      <c r="L138" s="9">
        <f t="shared" si="129"/>
        <v>67823786331033.422</v>
      </c>
      <c r="M138" s="6">
        <f t="shared" si="123"/>
        <v>2966712811384449</v>
      </c>
      <c r="N138" s="2">
        <f t="shared" si="124"/>
        <v>12.5</v>
      </c>
      <c r="O138" s="12">
        <v>800</v>
      </c>
      <c r="P138" s="13"/>
      <c r="Q138" s="6">
        <f t="shared" si="125"/>
        <v>1563656744009.8408</v>
      </c>
      <c r="R138" s="6"/>
    </row>
    <row r="139" spans="4:20" ht="15.75">
      <c r="D139" s="2">
        <f t="shared" si="118"/>
        <v>0.73296165235777189</v>
      </c>
      <c r="E139" s="2">
        <f t="shared" si="119"/>
        <v>-0.13491874651176264</v>
      </c>
      <c r="F139" s="2">
        <f t="shared" si="120"/>
        <v>-1.7814617371958754</v>
      </c>
      <c r="G139" s="6">
        <f t="shared" si="121"/>
        <v>2.4479548159639184E-2</v>
      </c>
      <c r="H139" s="2">
        <f t="shared" si="126"/>
        <v>-0.17026513459152323</v>
      </c>
      <c r="I139" s="2">
        <f t="shared" si="122"/>
        <v>1.18546758069965</v>
      </c>
      <c r="J139" s="4">
        <f t="shared" si="127"/>
        <v>0.45405884614340031</v>
      </c>
      <c r="K139" s="6">
        <f t="shared" si="128"/>
        <v>6.7707080426589682E-4</v>
      </c>
      <c r="L139" s="9">
        <f t="shared" si="129"/>
        <v>71611384152110.969</v>
      </c>
      <c r="M139" s="6">
        <f t="shared" si="123"/>
        <v>2589115224117070.5</v>
      </c>
      <c r="N139" s="2">
        <f t="shared" si="124"/>
        <v>11.111111111111111</v>
      </c>
      <c r="O139" s="12">
        <v>900</v>
      </c>
      <c r="P139" s="13"/>
      <c r="Q139" s="6">
        <f t="shared" si="125"/>
        <v>1254190266783.0039</v>
      </c>
      <c r="R139" s="6"/>
      <c r="S139" s="6"/>
      <c r="T139" s="6"/>
    </row>
    <row r="140" spans="4:20" ht="15.75">
      <c r="D140" s="2">
        <f t="shared" si="118"/>
        <v>0.74784032020572655</v>
      </c>
      <c r="E140" s="2">
        <f t="shared" si="119"/>
        <v>-0.12619112333425353</v>
      </c>
      <c r="F140" s="2">
        <f t="shared" si="120"/>
        <v>-1.9024955305253686</v>
      </c>
      <c r="G140" s="6">
        <f t="shared" si="121"/>
        <v>1.852548574097394E-2</v>
      </c>
      <c r="H140" s="2">
        <f t="shared" si="126"/>
        <v>-0.17026513459152323</v>
      </c>
      <c r="I140" s="2">
        <f t="shared" si="122"/>
        <v>1.18546758069965</v>
      </c>
      <c r="J140" s="4">
        <f t="shared" si="127"/>
        <v>0.45405884614340031</v>
      </c>
      <c r="K140" s="6">
        <f t="shared" si="128"/>
        <v>6.093637238393072E-4</v>
      </c>
      <c r="L140" s="9">
        <f t="shared" si="129"/>
        <v>75298240556451.203</v>
      </c>
      <c r="M140" s="6">
        <f t="shared" si="123"/>
        <v>2289168894006587.5</v>
      </c>
      <c r="N140" s="2">
        <f t="shared" si="124"/>
        <v>10</v>
      </c>
      <c r="O140" s="12">
        <v>1000</v>
      </c>
      <c r="P140" s="13"/>
      <c r="Q140" s="6">
        <f t="shared" si="125"/>
        <v>1024215652707.8717</v>
      </c>
      <c r="R140" s="6"/>
    </row>
    <row r="141" spans="4:20" ht="15.75">
      <c r="D141" s="2">
        <f t="shared" si="118"/>
        <v>0.76037165768574411</v>
      </c>
      <c r="E141" s="2">
        <f t="shared" si="119"/>
        <v>-0.11897407952369835</v>
      </c>
      <c r="F141" s="2">
        <f t="shared" si="120"/>
        <v>-2.0129179635418852</v>
      </c>
      <c r="G141" s="6">
        <f t="shared" si="121"/>
        <v>1.4366374092998267E-2</v>
      </c>
      <c r="H141" s="2">
        <f t="shared" si="126"/>
        <v>-0.17026513459152323</v>
      </c>
      <c r="I141" s="2">
        <f t="shared" si="122"/>
        <v>1.18546758069965</v>
      </c>
      <c r="J141" s="4">
        <f t="shared" si="127"/>
        <v>0.45405884614340031</v>
      </c>
      <c r="K141" s="6">
        <f t="shared" si="128"/>
        <v>5.5396702167209743E-4</v>
      </c>
      <c r="L141" s="9">
        <f t="shared" si="129"/>
        <v>78888524675193.109</v>
      </c>
      <c r="M141" s="6">
        <f t="shared" si="123"/>
        <v>2045865571036453.2</v>
      </c>
      <c r="N141" s="2">
        <f t="shared" si="124"/>
        <v>9.0909090909090917</v>
      </c>
      <c r="O141" s="12">
        <v>1100</v>
      </c>
      <c r="P141" s="13"/>
      <c r="Q141" s="6">
        <f t="shared" si="125"/>
        <v>849556137420.61877</v>
      </c>
      <c r="R141" s="6"/>
    </row>
    <row r="142" spans="4:20" ht="15.75">
      <c r="D142" s="2">
        <f t="shared" si="118"/>
        <v>0.77107460679000406</v>
      </c>
      <c r="E142" s="2">
        <f t="shared" si="119"/>
        <v>-0.1129035989274669</v>
      </c>
      <c r="F142" s="2">
        <f t="shared" si="120"/>
        <v>-2.114429548726541</v>
      </c>
      <c r="G142" s="6">
        <f t="shared" si="121"/>
        <v>1.137196687200883E-2</v>
      </c>
      <c r="H142" s="2">
        <f t="shared" si="126"/>
        <v>-0.17026513459152323</v>
      </c>
      <c r="I142" s="2">
        <f t="shared" si="122"/>
        <v>1.18546758069965</v>
      </c>
      <c r="J142" s="4">
        <f t="shared" si="127"/>
        <v>0.45405884614340031</v>
      </c>
      <c r="K142" s="6">
        <f t="shared" si="128"/>
        <v>5.0780310319942267E-4</v>
      </c>
      <c r="L142" s="9">
        <f t="shared" si="129"/>
        <v>82387769635664.406</v>
      </c>
      <c r="M142" s="6">
        <f t="shared" si="123"/>
        <v>1845028084807765</v>
      </c>
      <c r="N142" s="2">
        <f t="shared" si="124"/>
        <v>8.3333333333333339</v>
      </c>
      <c r="O142" s="12">
        <v>1200</v>
      </c>
      <c r="P142" s="13"/>
      <c r="Q142" s="6">
        <f t="shared" si="125"/>
        <v>714305215615.44226</v>
      </c>
    </row>
    <row r="143" spans="4:20" ht="15.75">
      <c r="D143" s="2">
        <f t="shared" si="118"/>
        <v>0.78032828651048269</v>
      </c>
      <c r="E143" s="2">
        <f t="shared" si="119"/>
        <v>-0.10772264984115384</v>
      </c>
      <c r="F143" s="2">
        <f t="shared" si="120"/>
        <v>-2.20835463766812</v>
      </c>
      <c r="G143" s="6">
        <f t="shared" si="121"/>
        <v>9.1603168711710658E-3</v>
      </c>
      <c r="H143" s="2">
        <f t="shared" si="126"/>
        <v>-0.17026513459152323</v>
      </c>
      <c r="I143" s="2">
        <f t="shared" si="122"/>
        <v>1.18546758069965</v>
      </c>
      <c r="J143" s="4">
        <f t="shared" si="127"/>
        <v>0.45405884614340031</v>
      </c>
      <c r="K143" s="6">
        <f t="shared" si="128"/>
        <v>4.6874132603023634E-4</v>
      </c>
      <c r="L143" s="9">
        <f t="shared" si="129"/>
        <v>85801817887422.609</v>
      </c>
      <c r="M143" s="6">
        <f t="shared" si="123"/>
        <v>1676770953027950.5</v>
      </c>
      <c r="N143" s="2">
        <f t="shared" si="124"/>
        <v>7.6923076923076925</v>
      </c>
      <c r="O143" s="12">
        <v>1300</v>
      </c>
      <c r="P143" s="13"/>
      <c r="Q143" s="6">
        <f t="shared" si="125"/>
        <v>607748886749.5719</v>
      </c>
      <c r="R143" s="6"/>
    </row>
    <row r="144" spans="4:20" ht="15.75">
      <c r="D144" s="2">
        <f t="shared" si="118"/>
        <v>0.79554822847246376</v>
      </c>
      <c r="E144" s="2">
        <f>LOG(J144)/(1+(F144/(I144-0.14*F144))^2)</f>
        <v>-9.9333487011033603E-2</v>
      </c>
      <c r="F144" s="2">
        <f>LOG(G144)+H144</f>
        <v>-2.3774454468603898</v>
      </c>
      <c r="G144" s="6">
        <f>M144*K144/L144</f>
        <v>6.2061131263307315E-3</v>
      </c>
      <c r="H144" s="2">
        <f>-0.4-0.67*LOG(J144)</f>
        <v>-0.17026513459152323</v>
      </c>
      <c r="I144" s="2">
        <f>0.75-1.27*LOG(J144)</f>
        <v>1.18546758069965</v>
      </c>
      <c r="J144" s="4">
        <f t="shared" si="127"/>
        <v>0.45405884614340031</v>
      </c>
      <c r="K144" s="6">
        <f t="shared" si="128"/>
        <v>4.0624248255953814E-4</v>
      </c>
      <c r="L144" s="9">
        <f t="shared" si="129"/>
        <v>92396720595423.437</v>
      </c>
      <c r="M144" s="6">
        <f>$B$7*O144^$B$8*EXP(-$B$9/1.987/O144)</f>
        <v>1411532582472170.2</v>
      </c>
      <c r="N144" s="2">
        <f>10000/O144</f>
        <v>6.666666666666667</v>
      </c>
      <c r="O144" s="12">
        <v>1500</v>
      </c>
      <c r="P144" s="13"/>
      <c r="Q144" s="6">
        <f>L144/(1+L144/M144/K144)*D144</f>
        <v>453373160427.08978</v>
      </c>
      <c r="R144" s="6"/>
    </row>
    <row r="145" spans="4:20" ht="15.75">
      <c r="D145" s="2">
        <f t="shared" si="118"/>
        <v>0.81270496817415228</v>
      </c>
      <c r="E145" s="2">
        <f>LOG(J145)/(1+(F145/(I145-0.14*F145))^2)</f>
        <v>-9.0067085338809028E-2</v>
      </c>
      <c r="F145" s="2">
        <f>LOG(G145)+H145</f>
        <v>-2.5947830761246728</v>
      </c>
      <c r="G145" s="6">
        <f>M145*K145/L145</f>
        <v>3.7625480814313106E-3</v>
      </c>
      <c r="H145" s="2">
        <f>-0.4-0.67*LOG(J145)</f>
        <v>-0.17026513459152323</v>
      </c>
      <c r="I145" s="2">
        <f>0.75-1.27*LOG(J145)</f>
        <v>1.18546758069965</v>
      </c>
      <c r="J145" s="4">
        <f t="shared" si="127"/>
        <v>0.45405884614340031</v>
      </c>
      <c r="K145" s="6">
        <f t="shared" si="128"/>
        <v>3.3853540213294841E-4</v>
      </c>
      <c r="L145" s="9">
        <f t="shared" si="129"/>
        <v>101779852540394.17</v>
      </c>
      <c r="M145" s="6">
        <f>$B$7*O145^$B$8*EXP(-$B$9/1.987/O145)</f>
        <v>1131201010267843.2</v>
      </c>
      <c r="N145" s="2">
        <f>10000/O145</f>
        <v>5.5555555555555554</v>
      </c>
      <c r="O145" s="12">
        <v>1800</v>
      </c>
      <c r="P145" s="13"/>
      <c r="Q145" s="6">
        <f>L145/(1+L145/M145/K145)*D145</f>
        <v>310060043052.53082</v>
      </c>
      <c r="R145" s="6"/>
    </row>
    <row r="146" spans="4:20">
      <c r="D146" s="2" t="s">
        <v>4</v>
      </c>
      <c r="E146" s="2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P146">
        <f>760*100</f>
        <v>76000</v>
      </c>
      <c r="Q146" t="s">
        <v>16</v>
      </c>
      <c r="R146" s="6"/>
    </row>
    <row r="147" spans="4:20" ht="15.75">
      <c r="D147" s="37">
        <f t="shared" ref="D147:D159" si="130">10^E147</f>
        <v>0.4776030195639453</v>
      </c>
      <c r="E147" s="37">
        <f t="shared" ref="E147:E157" si="131">LOG(J147)/(1+(F147/(I147-0.14*F147))^2)</f>
        <v>-0.3209329361169333</v>
      </c>
      <c r="F147" s="37">
        <f t="shared" ref="F147:F157" si="132">LOG(G147)+H147</f>
        <v>-0.32184715178272205</v>
      </c>
      <c r="G147" s="20">
        <f t="shared" ref="G147:G157" si="133">M147*K147/L147</f>
        <v>0.70537162093907202</v>
      </c>
      <c r="H147" s="37">
        <f>-0.4-0.67*LOG(J147)</f>
        <v>-0.17026513459152323</v>
      </c>
      <c r="I147" s="37">
        <f t="shared" ref="I147:I157" si="134">0.75-1.27*LOG(J147)</f>
        <v>1.18546758069965</v>
      </c>
      <c r="J147" s="20">
        <f>(1-$B$10)*EXP(-O147/$B$11)+$B$10*EXP(-O147/$B$12)+EXP(-B$13/O147)</f>
        <v>0.45405884614340031</v>
      </c>
      <c r="K147" s="20">
        <f>$P$146*101325/760/8.314/O147/1000000</f>
        <v>4.0624248255953814E-3</v>
      </c>
      <c r="L147" s="38">
        <f>B$4*O147^B$5*EXP(-B$6/1.987/O147)</f>
        <v>48271057302442.148</v>
      </c>
      <c r="M147" s="20">
        <f t="shared" ref="M147:M157" si="135">$B$7*O147^$B$8*EXP(-$B$9/1.987/O147)</f>
        <v>8381455755030811</v>
      </c>
      <c r="N147" s="37">
        <f t="shared" ref="N147:N157" si="136">10000/O147</f>
        <v>33.333333333333336</v>
      </c>
      <c r="O147" s="39">
        <v>300</v>
      </c>
      <c r="P147" s="40"/>
      <c r="Q147" s="20">
        <f t="shared" ref="Q147:Q157" si="137">L147/(1+L147/M147/K147)*D147</f>
        <v>9535705426536.3809</v>
      </c>
      <c r="R147" s="20">
        <f>0.000000000017*6.02E+23</f>
        <v>10234000000000</v>
      </c>
      <c r="S147" s="20">
        <f>(R147-Q147)^2/Q147^2</f>
        <v>5.3625540324359726E-3</v>
      </c>
      <c r="T147" s="20"/>
    </row>
    <row r="148" spans="4:20" ht="15.75">
      <c r="D148" s="37">
        <f t="shared" si="130"/>
        <v>0.52462229108503755</v>
      </c>
      <c r="E148" s="37">
        <f t="shared" si="131"/>
        <v>-0.28015326027720361</v>
      </c>
      <c r="F148" s="37">
        <f t="shared" si="132"/>
        <v>-0.60077885268228515</v>
      </c>
      <c r="G148" s="20">
        <f t="shared" si="133"/>
        <v>0.3710960074717502</v>
      </c>
      <c r="H148" s="37">
        <f t="shared" ref="H148:H157" si="138">-0.4-0.67*LOG(J148)</f>
        <v>-0.17026513459152323</v>
      </c>
      <c r="I148" s="37">
        <f t="shared" si="134"/>
        <v>1.18546758069965</v>
      </c>
      <c r="J148" s="20">
        <f t="shared" ref="J148:J159" si="139">(1-$B$10)*EXP(-O148/$B$11)+$B$10*EXP(-O148/$B$12)+EXP(-B$13/O148)</f>
        <v>0.45405884614340031</v>
      </c>
      <c r="K148" s="20">
        <f>$P$146*101325/760/8.314/O148/1000000</f>
        <v>3.0468186191965358E-3</v>
      </c>
      <c r="L148" s="38">
        <f t="shared" ref="L148:L159" si="140">B$4*O148^B$5*EXP(-B$6/1.987/O148)</f>
        <v>51915144096005.555</v>
      </c>
      <c r="M148" s="20">
        <f t="shared" si="135"/>
        <v>6323153790634473</v>
      </c>
      <c r="N148" s="37">
        <f t="shared" si="136"/>
        <v>25</v>
      </c>
      <c r="O148" s="39">
        <v>400</v>
      </c>
      <c r="P148" s="40"/>
      <c r="Q148" s="20">
        <f t="shared" si="137"/>
        <v>7371556850146.0693</v>
      </c>
      <c r="R148" s="20">
        <f>0.000000000012*6.02E+23</f>
        <v>7224000000000</v>
      </c>
      <c r="S148" s="20">
        <f>(R148-Q148)^2/Q148^2</f>
        <v>4.0068244330423921E-4</v>
      </c>
      <c r="T148" s="20"/>
    </row>
    <row r="149" spans="4:20" ht="15.75">
      <c r="D149" s="37">
        <f t="shared" si="130"/>
        <v>0.57074187186538095</v>
      </c>
      <c r="E149" s="37">
        <f t="shared" si="131"/>
        <v>-0.24356026473330156</v>
      </c>
      <c r="F149" s="37">
        <f t="shared" si="132"/>
        <v>-0.83137308443747227</v>
      </c>
      <c r="G149" s="20">
        <f t="shared" si="133"/>
        <v>0.21821874318299711</v>
      </c>
      <c r="H149" s="37">
        <f t="shared" si="138"/>
        <v>-0.17026513459152323</v>
      </c>
      <c r="I149" s="37">
        <f t="shared" si="134"/>
        <v>1.18546758069965</v>
      </c>
      <c r="J149" s="20">
        <f t="shared" si="139"/>
        <v>0.45405884614340031</v>
      </c>
      <c r="K149" s="20">
        <f>$P$146*101325/760/8.314/O149/1000000</f>
        <v>2.4374548953572288E-3</v>
      </c>
      <c r="L149" s="38">
        <f t="shared" si="140"/>
        <v>55914419404048.281</v>
      </c>
      <c r="M149" s="20">
        <f t="shared" si="135"/>
        <v>5005866714251614</v>
      </c>
      <c r="N149" s="37">
        <f t="shared" si="136"/>
        <v>20</v>
      </c>
      <c r="O149" s="39">
        <v>500</v>
      </c>
      <c r="P149" s="40"/>
      <c r="Q149" s="20">
        <f t="shared" si="137"/>
        <v>5716501581285.8838</v>
      </c>
      <c r="R149" s="20">
        <f>0.0000000000078*6.02E+23</f>
        <v>4695600000000</v>
      </c>
      <c r="S149" s="20">
        <f>(R149-Q149)^2/Q149^2</f>
        <v>3.1893860994495531E-2</v>
      </c>
      <c r="T149" s="20"/>
    </row>
    <row r="150" spans="4:20" ht="15.75">
      <c r="D150" s="37">
        <f t="shared" si="130"/>
        <v>0.6099546930807086</v>
      </c>
      <c r="E150" s="37">
        <f t="shared" si="131"/>
        <v>-0.21470242281841456</v>
      </c>
      <c r="F150" s="37">
        <f t="shared" si="132"/>
        <v>-1.027096269449314</v>
      </c>
      <c r="G150" s="20">
        <f t="shared" si="133"/>
        <v>0.13904931865186418</v>
      </c>
      <c r="H150" s="37">
        <f t="shared" si="138"/>
        <v>-0.17026513459152323</v>
      </c>
      <c r="I150" s="37">
        <f t="shared" si="134"/>
        <v>1.18546758069965</v>
      </c>
      <c r="J150" s="20">
        <f t="shared" si="139"/>
        <v>0.45405884614340031</v>
      </c>
      <c r="K150" s="20">
        <f>$P$146*101325/760/8.314/O150/1000000</f>
        <v>2.0312124127976907E-3</v>
      </c>
      <c r="L150" s="38">
        <f t="shared" si="140"/>
        <v>59954213423504.078</v>
      </c>
      <c r="M150" s="20">
        <f t="shared" si="135"/>
        <v>4104244575467262</v>
      </c>
      <c r="N150" s="37">
        <f t="shared" si="136"/>
        <v>16.666666666666668</v>
      </c>
      <c r="O150" s="39">
        <v>600</v>
      </c>
      <c r="P150" s="40"/>
      <c r="Q150" s="20">
        <f t="shared" si="137"/>
        <v>4464199796080.8672</v>
      </c>
      <c r="R150" s="20">
        <f>0.0000000000059*6.02E+23</f>
        <v>3551800000000</v>
      </c>
      <c r="S150" s="20">
        <f>(R150-Q150)^2/Q150^2</f>
        <v>4.1771792548144844E-2</v>
      </c>
      <c r="T150" s="20"/>
    </row>
    <row r="151" spans="4:20" ht="15.75">
      <c r="D151" s="26">
        <f t="shared" si="130"/>
        <v>0.71308476459963333</v>
      </c>
      <c r="E151" s="26">
        <f t="shared" si="131"/>
        <v>-0.14685884236437477</v>
      </c>
      <c r="F151" s="26">
        <f t="shared" si="132"/>
        <v>-1.6338984780486248</v>
      </c>
      <c r="G151" s="27">
        <f t="shared" si="133"/>
        <v>3.4384812188163728E-2</v>
      </c>
      <c r="H151" s="26">
        <f t="shared" si="138"/>
        <v>-0.17026513459152323</v>
      </c>
      <c r="I151" s="26">
        <f t="shared" si="134"/>
        <v>1.18546758069965</v>
      </c>
      <c r="J151" s="27">
        <f t="shared" si="139"/>
        <v>0.45405884614340031</v>
      </c>
      <c r="K151" s="27">
        <f>127.1*101325/8.314/O151/1000000</f>
        <v>1.3768911875551278E-3</v>
      </c>
      <c r="L151" s="28">
        <f t="shared" si="140"/>
        <v>79771642967365.547</v>
      </c>
      <c r="M151" s="27">
        <f t="shared" si="135"/>
        <v>1992120355018464.5</v>
      </c>
      <c r="N151" s="26">
        <f t="shared" si="136"/>
        <v>8.8888888888888893</v>
      </c>
      <c r="O151" s="29">
        <v>1125</v>
      </c>
      <c r="P151" s="30"/>
      <c r="Q151" s="27">
        <f t="shared" si="137"/>
        <v>1890924617247.9897</v>
      </c>
      <c r="R151" s="27">
        <f>0.00000000000211*6.02E+23</f>
        <v>1270220000000</v>
      </c>
      <c r="S151" s="20">
        <f t="shared" ref="S151:S158" si="141">(R151-Q151)^2/Q151^2</f>
        <v>0.10775105234868186</v>
      </c>
      <c r="T151" s="27"/>
    </row>
    <row r="152" spans="4:20" ht="15.75">
      <c r="D152" s="26">
        <f t="shared" si="130"/>
        <v>0.71517146733379877</v>
      </c>
      <c r="E152" s="26">
        <f t="shared" si="131"/>
        <v>-0.14558982059171191</v>
      </c>
      <c r="F152" s="26">
        <f t="shared" si="132"/>
        <v>-1.6487230117000886</v>
      </c>
      <c r="G152" s="27">
        <f t="shared" si="133"/>
        <v>3.3230901481178195E-2</v>
      </c>
      <c r="H152" s="26">
        <f t="shared" si="138"/>
        <v>-0.17026513459152323</v>
      </c>
      <c r="I152" s="26">
        <f t="shared" si="134"/>
        <v>1.18546758069965</v>
      </c>
      <c r="J152" s="27">
        <f t="shared" si="139"/>
        <v>0.45405884614340031</v>
      </c>
      <c r="K152" s="27">
        <f>130.3*101325/8.314/O152/1000000</f>
        <v>1.3808711863697693E-3</v>
      </c>
      <c r="L152" s="28">
        <f t="shared" si="140"/>
        <v>80649161866033.281</v>
      </c>
      <c r="M152" s="27">
        <f t="shared" si="135"/>
        <v>1940835886043380.2</v>
      </c>
      <c r="N152" s="26">
        <f t="shared" si="136"/>
        <v>8.695652173913043</v>
      </c>
      <c r="O152" s="29">
        <v>1150</v>
      </c>
      <c r="P152" s="30"/>
      <c r="Q152" s="27">
        <f t="shared" si="137"/>
        <v>1855046388330.4312</v>
      </c>
      <c r="R152" s="27">
        <f>0.00000000000209*6E+23</f>
        <v>1254000000000.0002</v>
      </c>
      <c r="S152" s="20">
        <f t="shared" si="141"/>
        <v>0.1049799677632664</v>
      </c>
      <c r="T152" s="27"/>
    </row>
    <row r="153" spans="4:20" ht="15.75">
      <c r="D153" s="26">
        <f t="shared" si="130"/>
        <v>0.71529894515191672</v>
      </c>
      <c r="E153" s="26">
        <f t="shared" si="131"/>
        <v>-0.14551241540718379</v>
      </c>
      <c r="F153" s="26">
        <f t="shared" si="132"/>
        <v>-1.6496333816743711</v>
      </c>
      <c r="G153" s="27">
        <f t="shared" si="133"/>
        <v>3.3161315680049964E-2</v>
      </c>
      <c r="H153" s="26">
        <f t="shared" si="138"/>
        <v>-0.17026513459152323</v>
      </c>
      <c r="I153" s="26">
        <f t="shared" si="134"/>
        <v>1.18546758069965</v>
      </c>
      <c r="J153" s="27">
        <f t="shared" si="139"/>
        <v>0.45405884614340031</v>
      </c>
      <c r="K153" s="27">
        <f>150.1*101325/8.314/O153/1000000</f>
        <v>1.5080873033516903E-3</v>
      </c>
      <c r="L153" s="28">
        <f t="shared" si="140"/>
        <v>82836289905731.891</v>
      </c>
      <c r="M153" s="27">
        <f t="shared" si="135"/>
        <v>1821486298056521</v>
      </c>
      <c r="N153" s="26">
        <f t="shared" si="136"/>
        <v>8.2440230832646328</v>
      </c>
      <c r="O153" s="29">
        <v>1213</v>
      </c>
      <c r="P153" s="30"/>
      <c r="Q153" s="27">
        <f t="shared" si="137"/>
        <v>1901830641140.6711</v>
      </c>
      <c r="R153" s="27">
        <f>0.00000000000177*6.02E+23</f>
        <v>1065540000000</v>
      </c>
      <c r="S153" s="20">
        <f t="shared" si="141"/>
        <v>0.19336185015402491</v>
      </c>
      <c r="T153" s="27"/>
    </row>
    <row r="154" spans="4:20" ht="15.75">
      <c r="D154" s="26">
        <f t="shared" si="130"/>
        <v>0.71142033920308523</v>
      </c>
      <c r="E154" s="26">
        <f t="shared" si="131"/>
        <v>-0.14787372267934124</v>
      </c>
      <c r="F154" s="26">
        <f t="shared" si="132"/>
        <v>-1.6221770377537859</v>
      </c>
      <c r="G154" s="27">
        <f t="shared" si="133"/>
        <v>3.5325482042922712E-2</v>
      </c>
      <c r="H154" s="26">
        <f t="shared" si="138"/>
        <v>-0.17026513459152323</v>
      </c>
      <c r="I154" s="26">
        <f t="shared" si="134"/>
        <v>1.18546758069965</v>
      </c>
      <c r="J154" s="27">
        <f t="shared" si="139"/>
        <v>0.45405884614340031</v>
      </c>
      <c r="K154" s="27">
        <f>152.2*101325/8.314/O154/1000000</f>
        <v>1.5574333966136447E-3</v>
      </c>
      <c r="L154" s="28">
        <f t="shared" si="140"/>
        <v>82076413078770.125</v>
      </c>
      <c r="M154" s="27">
        <f t="shared" si="135"/>
        <v>1861645488446436.2</v>
      </c>
      <c r="N154" s="26">
        <f t="shared" si="136"/>
        <v>8.3963056255247697</v>
      </c>
      <c r="O154" s="29">
        <v>1191</v>
      </c>
      <c r="P154" s="30"/>
      <c r="Q154" s="27">
        <f t="shared" si="137"/>
        <v>1992305066812.6995</v>
      </c>
      <c r="R154" s="27">
        <f>0.00000000000191*6.02E+23</f>
        <v>1149820000000</v>
      </c>
      <c r="S154" s="20">
        <f t="shared" si="141"/>
        <v>0.17881862224953482</v>
      </c>
      <c r="T154" s="27"/>
    </row>
    <row r="155" spans="4:20" ht="15.75">
      <c r="D155" s="26">
        <f t="shared" si="130"/>
        <v>0.7107681220885449</v>
      </c>
      <c r="E155" s="26">
        <f t="shared" si="131"/>
        <v>-0.14827205851374681</v>
      </c>
      <c r="F155" s="26">
        <f t="shared" si="132"/>
        <v>-1.6176084451195487</v>
      </c>
      <c r="G155" s="27">
        <f t="shared" si="133"/>
        <v>3.5699052496377073E-2</v>
      </c>
      <c r="H155" s="26">
        <f t="shared" si="138"/>
        <v>-0.17026513459152323</v>
      </c>
      <c r="I155" s="26">
        <f t="shared" si="134"/>
        <v>1.18546758069965</v>
      </c>
      <c r="J155" s="27">
        <f t="shared" si="139"/>
        <v>0.45405884614340031</v>
      </c>
      <c r="K155" s="27">
        <f>150.7*101325/8.314/O155/1000000</f>
        <v>1.5538259421756951E-3</v>
      </c>
      <c r="L155" s="28">
        <f t="shared" si="140"/>
        <v>81764362294610.953</v>
      </c>
      <c r="M155" s="27">
        <f t="shared" si="135"/>
        <v>1878531039197994.2</v>
      </c>
      <c r="N155" s="26">
        <f t="shared" si="136"/>
        <v>8.4602368866328259</v>
      </c>
      <c r="O155" s="29">
        <v>1182</v>
      </c>
      <c r="P155" s="30"/>
      <c r="Q155" s="27">
        <f t="shared" si="137"/>
        <v>2003157539235.5134</v>
      </c>
      <c r="R155" s="27">
        <f>0.00000000000193*6.02E+23</f>
        <v>1161860000000</v>
      </c>
      <c r="S155" s="20">
        <f t="shared" si="141"/>
        <v>0.17638799571432939</v>
      </c>
      <c r="T155" s="27"/>
    </row>
    <row r="156" spans="4:20" ht="15.75">
      <c r="D156" s="26">
        <f t="shared" si="130"/>
        <v>0.72321740205348783</v>
      </c>
      <c r="E156" s="26">
        <f t="shared" si="131"/>
        <v>-0.14073113241532972</v>
      </c>
      <c r="F156" s="26">
        <f t="shared" si="132"/>
        <v>-1.7072926480340884</v>
      </c>
      <c r="G156" s="27">
        <f t="shared" si="133"/>
        <v>2.9038386845247177E-2</v>
      </c>
      <c r="H156" s="26">
        <f t="shared" si="138"/>
        <v>-0.17026513459152323</v>
      </c>
      <c r="I156" s="26">
        <f t="shared" si="134"/>
        <v>1.18546758069965</v>
      </c>
      <c r="J156" s="27">
        <f t="shared" si="139"/>
        <v>0.45405884614340031</v>
      </c>
      <c r="K156" s="27">
        <f>146.9*101325/8.314/O156/1000000</f>
        <v>1.416384984683453E-3</v>
      </c>
      <c r="L156" s="28">
        <f t="shared" si="140"/>
        <v>84582210747944.609</v>
      </c>
      <c r="M156" s="27">
        <f t="shared" si="135"/>
        <v>1734084293807985</v>
      </c>
      <c r="N156" s="26">
        <f t="shared" si="136"/>
        <v>7.9113924050632916</v>
      </c>
      <c r="O156" s="29">
        <v>1264</v>
      </c>
      <c r="P156" s="30"/>
      <c r="Q156" s="27">
        <f t="shared" si="137"/>
        <v>1726190851337.3945</v>
      </c>
      <c r="R156" s="27">
        <f>0.00000000000181*6.02E+23</f>
        <v>1089620000000</v>
      </c>
      <c r="S156" s="20">
        <f t="shared" si="141"/>
        <v>0.13599278743197168</v>
      </c>
      <c r="T156" s="27"/>
    </row>
    <row r="157" spans="4:20" ht="15.75">
      <c r="D157" s="26">
        <f t="shared" si="130"/>
        <v>0.72032616252853821</v>
      </c>
      <c r="E157" s="26">
        <f t="shared" si="131"/>
        <v>-0.14247081119105456</v>
      </c>
      <c r="F157" s="26">
        <f t="shared" si="132"/>
        <v>-1.6859813392269607</v>
      </c>
      <c r="G157" s="27">
        <f t="shared" si="133"/>
        <v>3.0498873270466163E-2</v>
      </c>
      <c r="H157" s="26">
        <f t="shared" si="138"/>
        <v>-0.17026513459152323</v>
      </c>
      <c r="I157" s="26">
        <f t="shared" si="134"/>
        <v>1.18546758069965</v>
      </c>
      <c r="J157" s="27">
        <f t="shared" si="139"/>
        <v>0.45405884614340031</v>
      </c>
      <c r="K157" s="27">
        <f>148.1*101325/8.314/O157/1000000</f>
        <v>1.4497472690859661E-3</v>
      </c>
      <c r="L157" s="28">
        <f t="shared" si="140"/>
        <v>83934287634319.766</v>
      </c>
      <c r="M157" s="27">
        <f t="shared" si="135"/>
        <v>1765756871002720</v>
      </c>
      <c r="N157" s="26">
        <f t="shared" si="136"/>
        <v>8.0321285140562253</v>
      </c>
      <c r="O157" s="29">
        <v>1245</v>
      </c>
      <c r="P157" s="30"/>
      <c r="Q157" s="27">
        <f t="shared" si="137"/>
        <v>1789389447028.5901</v>
      </c>
      <c r="R157" s="27">
        <f>0.00000000000187*6.02E+23</f>
        <v>1125740000000</v>
      </c>
      <c r="S157" s="20">
        <f t="shared" si="141"/>
        <v>0.13755225997761952</v>
      </c>
      <c r="T157" s="27"/>
    </row>
    <row r="158" spans="4:20" ht="15.75">
      <c r="D158" s="26">
        <f t="shared" si="130"/>
        <v>0.73083908846332446</v>
      </c>
      <c r="E158" s="26">
        <f>LOG(J158)/(1+(F158/(I158-0.14*F158))^2)</f>
        <v>-0.13617823273445995</v>
      </c>
      <c r="F158" s="26">
        <f>LOG(G158)+H158</f>
        <v>-1.7649848384715707</v>
      </c>
      <c r="G158" s="27">
        <f>M158*K158/L158</f>
        <v>2.5426131930672675E-2</v>
      </c>
      <c r="H158" s="26">
        <f>-0.4-0.67*LOG(J158)</f>
        <v>-0.17026513459152323</v>
      </c>
      <c r="I158" s="26">
        <f>0.75-1.27*LOG(J158)</f>
        <v>1.18546758069965</v>
      </c>
      <c r="J158" s="31">
        <f t="shared" si="139"/>
        <v>0.45405884614340031</v>
      </c>
      <c r="K158" s="27">
        <f>99*101325/8.314/O158/1000000</f>
        <v>1.0519094796877316E-3</v>
      </c>
      <c r="L158" s="28">
        <f t="shared" si="140"/>
        <v>80544152200547.078</v>
      </c>
      <c r="M158" s="27">
        <f>$B$7*O158^$B$8*EXP(-$B$9/1.987/O158)</f>
        <v>1946865466697034</v>
      </c>
      <c r="N158" s="26">
        <f>10000/O158</f>
        <v>8.7183958151700089</v>
      </c>
      <c r="O158" s="29">
        <v>1147</v>
      </c>
      <c r="P158" s="30"/>
      <c r="Q158" s="27">
        <f>L158/(1+L158/M158/K158)*D158</f>
        <v>1459592748756.4307</v>
      </c>
      <c r="R158" s="33">
        <f>0.00000000000176*6.02E+23</f>
        <v>1059520000000</v>
      </c>
      <c r="S158" s="20">
        <f t="shared" si="141"/>
        <v>7.5130200173516876E-2</v>
      </c>
    </row>
    <row r="159" spans="4:20" ht="15.75">
      <c r="D159" s="2">
        <f t="shared" si="130"/>
        <v>0.78823601767630824</v>
      </c>
      <c r="E159" s="2">
        <f>LOG(J159)/(1+(F159/(I159-0.14*F159))^2)</f>
        <v>-0.10334372435409138</v>
      </c>
      <c r="F159" s="2">
        <f>LOG(G159)+H159</f>
        <v>-2.2937530804606916</v>
      </c>
      <c r="G159" s="6">
        <f>M159*K159/L159</f>
        <v>7.5250961628626212E-3</v>
      </c>
      <c r="H159" s="2">
        <f>-0.4-0.67*LOG(J159)</f>
        <v>-0.17026513459152323</v>
      </c>
      <c r="I159" s="2">
        <f>0.75-1.27*LOG(J159)</f>
        <v>1.18546758069965</v>
      </c>
      <c r="J159" s="4">
        <f t="shared" si="139"/>
        <v>0.45405884614340031</v>
      </c>
      <c r="K159" s="6">
        <f>$P$146*101325/760/8.314/O159/1000000</f>
        <v>6.7707080426589682E-4</v>
      </c>
      <c r="L159" s="9">
        <f t="shared" si="140"/>
        <v>101779852540394.17</v>
      </c>
      <c r="M159" s="6">
        <f>$B$7*O159^$B$8*EXP(-$B$9/1.987/O159)</f>
        <v>1131201010267843.2</v>
      </c>
      <c r="N159" s="2">
        <f>10000/O159</f>
        <v>5.5555555555555554</v>
      </c>
      <c r="O159" s="12">
        <v>1800</v>
      </c>
      <c r="P159" s="13"/>
      <c r="Q159" s="6">
        <f>L159/(1+L159/M159/K159)*D159</f>
        <v>599203407538.51477</v>
      </c>
    </row>
    <row r="160" spans="4:20">
      <c r="D160" s="2" t="s">
        <v>4</v>
      </c>
      <c r="E160" s="2" t="s">
        <v>5</v>
      </c>
      <c r="F160" t="s">
        <v>6</v>
      </c>
      <c r="G160" t="s">
        <v>7</v>
      </c>
      <c r="H160" t="s">
        <v>8</v>
      </c>
      <c r="I160" t="s">
        <v>9</v>
      </c>
      <c r="J160" t="s">
        <v>10</v>
      </c>
      <c r="K160" t="s">
        <v>11</v>
      </c>
      <c r="L160" t="s">
        <v>12</v>
      </c>
      <c r="M160" t="s">
        <v>13</v>
      </c>
      <c r="N160" t="s">
        <v>14</v>
      </c>
      <c r="P160">
        <f>760*300</f>
        <v>228000</v>
      </c>
      <c r="Q160" t="s">
        <v>16</v>
      </c>
      <c r="R160" s="6"/>
    </row>
    <row r="161" spans="4:20" ht="15.75">
      <c r="D161" s="37">
        <f t="shared" ref="D161:D173" si="142">10^E161</f>
        <v>0.4603729637858443</v>
      </c>
      <c r="E161" s="37">
        <f t="shared" ref="E161:E171" si="143">LOG(J161)/(1+(F161/(I161-0.14*F161))^2)</f>
        <v>-0.33689018900268891</v>
      </c>
      <c r="F161" s="37">
        <f t="shared" ref="F161:F171" si="144">LOG(G161)+H161</f>
        <v>0.15527410293694036</v>
      </c>
      <c r="G161" s="20">
        <f t="shared" ref="G161:G171" si="145">M161*K161/L161</f>
        <v>2.1161148628172159</v>
      </c>
      <c r="H161" s="37">
        <f>-0.4-0.67*LOG(J161)</f>
        <v>-0.17026513459152323</v>
      </c>
      <c r="I161" s="37">
        <f t="shared" ref="I161:I171" si="146">0.75-1.27*LOG(J161)</f>
        <v>1.18546758069965</v>
      </c>
      <c r="J161" s="20">
        <f>(1-$B$10)*EXP(-O161/$B$11)+$B$10*EXP(-O161/$B$12)+EXP(-B$13/O161)</f>
        <v>0.45405884614340031</v>
      </c>
      <c r="K161" s="20">
        <f>$P$160*101325/760/8.314/O161/1000000</f>
        <v>1.2187274476786143E-2</v>
      </c>
      <c r="L161" s="38">
        <f>B$4*O161^B$5*EXP(-B$6/1.987/O161)</f>
        <v>48271057302442.148</v>
      </c>
      <c r="M161" s="20">
        <f t="shared" ref="M161:M171" si="147">$B$7*O161^$B$8*EXP(-$B$9/1.987/O161)</f>
        <v>8381455755030811</v>
      </c>
      <c r="N161" s="37">
        <f t="shared" ref="N161:N171" si="148">10000/O161</f>
        <v>33.333333333333336</v>
      </c>
      <c r="O161" s="39">
        <v>300</v>
      </c>
      <c r="P161" s="40"/>
      <c r="Q161" s="20">
        <f t="shared" ref="Q161:Q171" si="149">L161/(1+L161/M161/K161)*D161</f>
        <v>15091152306247.66</v>
      </c>
      <c r="R161" s="20">
        <f>0.000000000033*6.02E+23</f>
        <v>19866000000000</v>
      </c>
      <c r="S161" s="20">
        <f>(R161-Q161)^2/Q161^2</f>
        <v>0.10010925788644524</v>
      </c>
      <c r="T161" s="20"/>
    </row>
    <row r="162" spans="4:20" ht="15.75">
      <c r="D162" s="37">
        <f t="shared" si="142"/>
        <v>0.45782395456035396</v>
      </c>
      <c r="E162" s="37">
        <f t="shared" si="143"/>
        <v>-0.33930148763087636</v>
      </c>
      <c r="F162" s="37">
        <f t="shared" si="144"/>
        <v>-0.12365759796262277</v>
      </c>
      <c r="G162" s="20">
        <f t="shared" si="145"/>
        <v>1.1132880224152506</v>
      </c>
      <c r="H162" s="37">
        <f t="shared" ref="H162:H171" si="150">-0.4-0.67*LOG(J162)</f>
        <v>-0.17026513459152323</v>
      </c>
      <c r="I162" s="37">
        <f t="shared" si="146"/>
        <v>1.18546758069965</v>
      </c>
      <c r="J162" s="20">
        <f t="shared" ref="J162:J173" si="151">(1-$B$10)*EXP(-O162/$B$11)+$B$10*EXP(-O162/$B$12)+EXP(-B$13/O162)</f>
        <v>0.45405884614340031</v>
      </c>
      <c r="K162" s="20">
        <f t="shared" ref="K162:K173" si="152">$P$160*101325/760/8.314/O162/1000000</f>
        <v>9.1404558575896074E-3</v>
      </c>
      <c r="L162" s="38">
        <f t="shared" ref="L162:L173" si="153">B$4*O162^B$5*EXP(-B$6/1.987/O162)</f>
        <v>51915144096005.555</v>
      </c>
      <c r="M162" s="20">
        <f t="shared" si="147"/>
        <v>6323153790634473</v>
      </c>
      <c r="N162" s="37">
        <f t="shared" si="148"/>
        <v>25</v>
      </c>
      <c r="O162" s="39">
        <v>400</v>
      </c>
      <c r="P162" s="40"/>
      <c r="Q162" s="20">
        <f t="shared" si="149"/>
        <v>12521069356997.449</v>
      </c>
      <c r="R162" s="20">
        <f>0.000000000025*6.02E+23</f>
        <v>15050000000000</v>
      </c>
      <c r="S162" s="20">
        <f>(R162-Q162)^2/Q162^2</f>
        <v>4.0793502505399475E-2</v>
      </c>
      <c r="T162" s="20"/>
    </row>
    <row r="163" spans="4:20" ht="15.75">
      <c r="D163" s="37">
        <f t="shared" si="142"/>
        <v>0.48214471601687442</v>
      </c>
      <c r="E163" s="37">
        <f t="shared" si="143"/>
        <v>-0.31682258845307859</v>
      </c>
      <c r="F163" s="37">
        <f t="shared" si="144"/>
        <v>-0.35425182971780977</v>
      </c>
      <c r="G163" s="20">
        <f t="shared" si="145"/>
        <v>0.65465622954899139</v>
      </c>
      <c r="H163" s="37">
        <f t="shared" si="150"/>
        <v>-0.17026513459152323</v>
      </c>
      <c r="I163" s="37">
        <f t="shared" si="146"/>
        <v>1.18546758069965</v>
      </c>
      <c r="J163" s="20">
        <f t="shared" si="151"/>
        <v>0.45405884614340031</v>
      </c>
      <c r="K163" s="20">
        <f t="shared" si="152"/>
        <v>7.3123646860716865E-3</v>
      </c>
      <c r="L163" s="38">
        <f t="shared" si="153"/>
        <v>55914419404048.281</v>
      </c>
      <c r="M163" s="20">
        <f t="shared" si="147"/>
        <v>5005866714251614</v>
      </c>
      <c r="N163" s="37">
        <f t="shared" si="148"/>
        <v>20</v>
      </c>
      <c r="O163" s="39">
        <v>500</v>
      </c>
      <c r="P163" s="40"/>
      <c r="Q163" s="20">
        <f t="shared" si="149"/>
        <v>10666127170739.668</v>
      </c>
      <c r="R163" s="20">
        <f>0.000000000019*6.02E+23</f>
        <v>11438000000000</v>
      </c>
      <c r="S163" s="20">
        <f>(R163-Q163)^2/Q163^2</f>
        <v>5.2369447527586431E-3</v>
      </c>
      <c r="T163" s="20"/>
    </row>
    <row r="164" spans="4:20" ht="15.75">
      <c r="D164" s="37">
        <f t="shared" si="142"/>
        <v>0.51499781797013777</v>
      </c>
      <c r="E164" s="37">
        <f t="shared" si="143"/>
        <v>-0.28819461104722854</v>
      </c>
      <c r="F164" s="37">
        <f t="shared" si="144"/>
        <v>-0.54997501472965171</v>
      </c>
      <c r="G164" s="20">
        <f t="shared" si="145"/>
        <v>0.41714795595559245</v>
      </c>
      <c r="H164" s="37">
        <f t="shared" si="150"/>
        <v>-0.17026513459152323</v>
      </c>
      <c r="I164" s="37">
        <f t="shared" si="146"/>
        <v>1.18546758069965</v>
      </c>
      <c r="J164" s="20">
        <f t="shared" si="151"/>
        <v>0.45405884614340031</v>
      </c>
      <c r="K164" s="20">
        <f t="shared" si="152"/>
        <v>6.0936372383930716E-3</v>
      </c>
      <c r="L164" s="38">
        <f t="shared" si="153"/>
        <v>59954213423504.078</v>
      </c>
      <c r="M164" s="20">
        <f t="shared" si="147"/>
        <v>4104244575467262</v>
      </c>
      <c r="N164" s="37">
        <f t="shared" si="148"/>
        <v>16.666666666666668</v>
      </c>
      <c r="O164" s="39">
        <v>600</v>
      </c>
      <c r="P164" s="40"/>
      <c r="Q164" s="20">
        <f t="shared" si="149"/>
        <v>9088663486242.373</v>
      </c>
      <c r="R164" s="20">
        <f>0.000000000013*6.02E+23</f>
        <v>7826000000000</v>
      </c>
      <c r="S164" s="20">
        <f>(R164-Q164)^2/Q164^2</f>
        <v>1.9300794914275034E-2</v>
      </c>
      <c r="T164" s="20"/>
    </row>
    <row r="165" spans="4:20" ht="15.75">
      <c r="D165" s="2">
        <f t="shared" si="142"/>
        <v>0.54811423714461605</v>
      </c>
      <c r="E165" s="2">
        <f t="shared" si="143"/>
        <v>-0.26112891707933844</v>
      </c>
      <c r="F165" s="2">
        <f t="shared" si="144"/>
        <v>-0.7197104049738684</v>
      </c>
      <c r="G165" s="6">
        <f t="shared" si="145"/>
        <v>0.28219851861331785</v>
      </c>
      <c r="H165" s="2">
        <f t="shared" si="150"/>
        <v>-0.17026513459152323</v>
      </c>
      <c r="I165" s="2">
        <f t="shared" si="146"/>
        <v>1.18546758069965</v>
      </c>
      <c r="J165" s="4">
        <f t="shared" si="151"/>
        <v>0.45405884614340031</v>
      </c>
      <c r="K165" s="6">
        <f t="shared" si="152"/>
        <v>5.2231176329083475E-3</v>
      </c>
      <c r="L165" s="9">
        <f t="shared" si="153"/>
        <v>63935043186733.742</v>
      </c>
      <c r="M165" s="6">
        <f t="shared" si="147"/>
        <v>3454330486661539.5</v>
      </c>
      <c r="N165" s="2">
        <f t="shared" si="148"/>
        <v>14.285714285714286</v>
      </c>
      <c r="O165" s="12">
        <v>700</v>
      </c>
      <c r="P165" s="13"/>
      <c r="Q165" s="6">
        <f t="shared" si="149"/>
        <v>7712754443215.0801</v>
      </c>
      <c r="R165" s="6"/>
    </row>
    <row r="166" spans="4:20" ht="15.75">
      <c r="D166" s="2">
        <f t="shared" si="142"/>
        <v>0.57846427683130419</v>
      </c>
      <c r="E166" s="2">
        <f t="shared" si="143"/>
        <v>-0.23772345582040338</v>
      </c>
      <c r="F166" s="2">
        <f t="shared" si="144"/>
        <v>-0.86943379860254122</v>
      </c>
      <c r="G166" s="6">
        <f t="shared" si="145"/>
        <v>0.19990853475985773</v>
      </c>
      <c r="H166" s="2">
        <f t="shared" si="150"/>
        <v>-0.17026513459152323</v>
      </c>
      <c r="I166" s="2">
        <f t="shared" si="146"/>
        <v>1.18546758069965</v>
      </c>
      <c r="J166" s="4">
        <f t="shared" si="151"/>
        <v>0.45405884614340031</v>
      </c>
      <c r="K166" s="6">
        <f t="shared" si="152"/>
        <v>4.5702279287948037E-3</v>
      </c>
      <c r="L166" s="9">
        <f t="shared" si="153"/>
        <v>67823786331033.422</v>
      </c>
      <c r="M166" s="6">
        <f t="shared" si="147"/>
        <v>2966712811384449</v>
      </c>
      <c r="N166" s="2">
        <f t="shared" si="148"/>
        <v>12.5</v>
      </c>
      <c r="O166" s="12">
        <v>800</v>
      </c>
      <c r="P166" s="13"/>
      <c r="Q166" s="6">
        <f t="shared" si="149"/>
        <v>6536447371700.2295</v>
      </c>
      <c r="R166" s="6"/>
    </row>
    <row r="167" spans="4:20" ht="15.75">
      <c r="D167" s="2">
        <f t="shared" si="142"/>
        <v>0.60528102081642732</v>
      </c>
      <c r="E167" s="2">
        <f t="shared" si="143"/>
        <v>-0.21804294360590501</v>
      </c>
      <c r="F167" s="2">
        <f t="shared" si="144"/>
        <v>-1.003310486812232</v>
      </c>
      <c r="G167" s="6">
        <f t="shared" si="145"/>
        <v>0.14687728895783511</v>
      </c>
      <c r="H167" s="2">
        <f t="shared" si="150"/>
        <v>-0.17026513459152323</v>
      </c>
      <c r="I167" s="2">
        <f t="shared" si="146"/>
        <v>1.18546758069965</v>
      </c>
      <c r="J167" s="4">
        <f t="shared" si="151"/>
        <v>0.45405884614340031</v>
      </c>
      <c r="K167" s="6">
        <f t="shared" si="152"/>
        <v>4.0624248255953814E-3</v>
      </c>
      <c r="L167" s="9">
        <f t="shared" si="153"/>
        <v>71611384152110.969</v>
      </c>
      <c r="M167" s="6">
        <f t="shared" si="147"/>
        <v>2589115224117070.5</v>
      </c>
      <c r="N167" s="2">
        <f t="shared" si="148"/>
        <v>11.111111111111111</v>
      </c>
      <c r="O167" s="12">
        <v>900</v>
      </c>
      <c r="P167" s="13"/>
      <c r="Q167" s="6">
        <f t="shared" si="149"/>
        <v>5551071478947.5234</v>
      </c>
      <c r="R167" s="6"/>
    </row>
    <row r="168" spans="4:20" ht="15.75">
      <c r="D168" s="2">
        <f t="shared" si="142"/>
        <v>0.6286682742253743</v>
      </c>
      <c r="E168" s="2">
        <f t="shared" si="143"/>
        <v>-0.20157845578868669</v>
      </c>
      <c r="F168" s="2">
        <f t="shared" si="144"/>
        <v>-1.1243442801417249</v>
      </c>
      <c r="G168" s="6">
        <f t="shared" si="145"/>
        <v>0.11115291444584366</v>
      </c>
      <c r="H168" s="2">
        <f t="shared" si="150"/>
        <v>-0.17026513459152323</v>
      </c>
      <c r="I168" s="2">
        <f t="shared" si="146"/>
        <v>1.18546758069965</v>
      </c>
      <c r="J168" s="4">
        <f t="shared" si="151"/>
        <v>0.45405884614340031</v>
      </c>
      <c r="K168" s="6">
        <f t="shared" si="152"/>
        <v>3.6561823430358432E-3</v>
      </c>
      <c r="L168" s="9">
        <f t="shared" si="153"/>
        <v>75298240556451.203</v>
      </c>
      <c r="M168" s="6">
        <f t="shared" si="147"/>
        <v>2289168894006587.5</v>
      </c>
      <c r="N168" s="2">
        <f t="shared" si="148"/>
        <v>10</v>
      </c>
      <c r="O168" s="12">
        <v>1000</v>
      </c>
      <c r="P168" s="13"/>
      <c r="Q168" s="6">
        <f t="shared" si="149"/>
        <v>4735364318812.0029</v>
      </c>
    </row>
    <row r="169" spans="4:20" ht="15.75">
      <c r="D169" s="2">
        <f t="shared" si="142"/>
        <v>0.6490132587658427</v>
      </c>
      <c r="E169" s="2">
        <f t="shared" si="143"/>
        <v>-0.18774643085752848</v>
      </c>
      <c r="F169" s="2">
        <f t="shared" si="144"/>
        <v>-1.2347667131582412</v>
      </c>
      <c r="G169" s="6">
        <f t="shared" si="145"/>
        <v>8.619824455798962E-2</v>
      </c>
      <c r="H169" s="2">
        <f t="shared" si="150"/>
        <v>-0.17026513459152323</v>
      </c>
      <c r="I169" s="2">
        <f t="shared" si="146"/>
        <v>1.18546758069965</v>
      </c>
      <c r="J169" s="4">
        <f t="shared" si="151"/>
        <v>0.45405884614340031</v>
      </c>
      <c r="K169" s="6">
        <f t="shared" si="152"/>
        <v>3.3238021300325848E-3</v>
      </c>
      <c r="L169" s="9">
        <f t="shared" si="153"/>
        <v>78888524675193.109</v>
      </c>
      <c r="M169" s="6">
        <f t="shared" si="147"/>
        <v>2045865571036453.2</v>
      </c>
      <c r="N169" s="2">
        <f t="shared" si="148"/>
        <v>9.0909090909090917</v>
      </c>
      <c r="O169" s="12">
        <v>1100</v>
      </c>
      <c r="P169" s="13"/>
      <c r="Q169" s="6">
        <f t="shared" si="149"/>
        <v>4063092674722.771</v>
      </c>
    </row>
    <row r="170" spans="4:20" ht="15.75">
      <c r="D170" s="2">
        <f t="shared" si="142"/>
        <v>0.66675456018342694</v>
      </c>
      <c r="E170" s="2">
        <f t="shared" si="143"/>
        <v>-0.17603400532578595</v>
      </c>
      <c r="F170" s="2">
        <f t="shared" si="144"/>
        <v>-1.3362782983428974</v>
      </c>
      <c r="G170" s="6">
        <f t="shared" si="145"/>
        <v>6.8231801232052969E-2</v>
      </c>
      <c r="H170" s="2">
        <f t="shared" si="150"/>
        <v>-0.17026513459152323</v>
      </c>
      <c r="I170" s="2">
        <f t="shared" si="146"/>
        <v>1.18546758069965</v>
      </c>
      <c r="J170" s="4">
        <f t="shared" si="151"/>
        <v>0.45405884614340031</v>
      </c>
      <c r="K170" s="6">
        <f t="shared" si="152"/>
        <v>3.0468186191965358E-3</v>
      </c>
      <c r="L170" s="9">
        <f t="shared" si="153"/>
        <v>82387769635664.406</v>
      </c>
      <c r="M170" s="6">
        <f t="shared" si="147"/>
        <v>1845028084807765</v>
      </c>
      <c r="N170" s="2">
        <f t="shared" si="148"/>
        <v>8.3333333333333339</v>
      </c>
      <c r="O170" s="12">
        <v>1200</v>
      </c>
      <c r="P170" s="13"/>
      <c r="Q170" s="6">
        <f t="shared" si="149"/>
        <v>3508731001930.6196</v>
      </c>
    </row>
    <row r="171" spans="4:20" ht="15.75">
      <c r="D171" s="2">
        <f t="shared" si="142"/>
        <v>0.68229832988167072</v>
      </c>
      <c r="E171" s="2">
        <f t="shared" si="143"/>
        <v>-0.16602569177749121</v>
      </c>
      <c r="F171" s="2">
        <f t="shared" si="144"/>
        <v>-1.4302033872844764</v>
      </c>
      <c r="G171" s="6">
        <f t="shared" si="145"/>
        <v>5.4961901227026398E-2</v>
      </c>
      <c r="H171" s="2">
        <f t="shared" si="150"/>
        <v>-0.17026513459152323</v>
      </c>
      <c r="I171" s="2">
        <f t="shared" si="146"/>
        <v>1.18546758069965</v>
      </c>
      <c r="J171" s="4">
        <f t="shared" si="151"/>
        <v>0.45405884614340031</v>
      </c>
      <c r="K171" s="6">
        <f t="shared" si="152"/>
        <v>2.8124479561814179E-3</v>
      </c>
      <c r="L171" s="9">
        <f t="shared" si="153"/>
        <v>85801817887422.609</v>
      </c>
      <c r="M171" s="6">
        <f t="shared" si="147"/>
        <v>1676770953027950.5</v>
      </c>
      <c r="N171" s="2">
        <f t="shared" si="148"/>
        <v>7.6923076923076925</v>
      </c>
      <c r="O171" s="12">
        <v>1300</v>
      </c>
      <c r="P171" s="13"/>
      <c r="Q171" s="6">
        <f t="shared" si="149"/>
        <v>3049971414831.4492</v>
      </c>
    </row>
    <row r="172" spans="4:20" ht="15.75">
      <c r="D172" s="2">
        <f t="shared" si="142"/>
        <v>0.70813386249623211</v>
      </c>
      <c r="E172" s="2">
        <f>LOG(J172)/(1+(F172/(I172-0.14*F172))^2)</f>
        <v>-0.14988463743983674</v>
      </c>
      <c r="F172" s="2">
        <f>LOG(G172)+H172</f>
        <v>-1.599294196476746</v>
      </c>
      <c r="G172" s="6">
        <f>M172*K172/L172</f>
        <v>3.7236678757984386E-2</v>
      </c>
      <c r="H172" s="2">
        <f>-0.4-0.67*LOG(J172)</f>
        <v>-0.17026513459152323</v>
      </c>
      <c r="I172" s="2">
        <f>0.75-1.27*LOG(J172)</f>
        <v>1.18546758069965</v>
      </c>
      <c r="J172" s="4">
        <f t="shared" si="151"/>
        <v>0.45405884614340031</v>
      </c>
      <c r="K172" s="6">
        <f t="shared" si="152"/>
        <v>2.4374548953572288E-3</v>
      </c>
      <c r="L172" s="9">
        <f t="shared" si="153"/>
        <v>92396720595423.437</v>
      </c>
      <c r="M172" s="6">
        <f>$B$7*O172^$B$8*EXP(-$B$9/1.987/O172)</f>
        <v>1411532582472170.2</v>
      </c>
      <c r="N172" s="2">
        <f>10000/O172</f>
        <v>6.666666666666667</v>
      </c>
      <c r="O172" s="12">
        <v>1500</v>
      </c>
      <c r="P172" s="13"/>
      <c r="Q172" s="6">
        <f>L172/(1+L172/M172/K172)*D172</f>
        <v>2348902510201.0015</v>
      </c>
    </row>
    <row r="173" spans="4:20" ht="15.75">
      <c r="D173" s="2">
        <f t="shared" si="142"/>
        <v>0.73741323319273733</v>
      </c>
      <c r="E173" s="2">
        <f>LOG(J173)/(1+(F173/(I173-0.14*F173))^2)</f>
        <v>-0.13228907306158605</v>
      </c>
      <c r="F173" s="2">
        <f>LOG(G173)+H173</f>
        <v>-1.8166318257410288</v>
      </c>
      <c r="G173" s="6">
        <f>M173*K173/L173</f>
        <v>2.2575288488587867E-2</v>
      </c>
      <c r="H173" s="2">
        <f>-0.4-0.67*LOG(J173)</f>
        <v>-0.17026513459152323</v>
      </c>
      <c r="I173" s="2">
        <f>0.75-1.27*LOG(J173)</f>
        <v>1.18546758069965</v>
      </c>
      <c r="J173" s="4">
        <f t="shared" si="151"/>
        <v>0.45405884614340031</v>
      </c>
      <c r="K173" s="6">
        <f t="shared" si="152"/>
        <v>2.0312124127976907E-3</v>
      </c>
      <c r="L173" s="9">
        <f t="shared" si="153"/>
        <v>101779852540394.17</v>
      </c>
      <c r="M173" s="6">
        <f>$B$7*O173^$B$8*EXP(-$B$9/1.987/O173)</f>
        <v>1131201010267843.2</v>
      </c>
      <c r="N173" s="2">
        <f>10000/O173</f>
        <v>5.5555555555555554</v>
      </c>
      <c r="O173" s="12">
        <v>1800</v>
      </c>
      <c r="P173" s="13"/>
      <c r="Q173" s="6">
        <f>L173/(1+L173/M173/K173)*D173</f>
        <v>1656955174895.0356</v>
      </c>
    </row>
    <row r="174" spans="4:20">
      <c r="D174" s="2" t="s">
        <v>4</v>
      </c>
      <c r="E174" s="2" t="s">
        <v>5</v>
      </c>
      <c r="F174" t="s">
        <v>6</v>
      </c>
      <c r="G174" t="s">
        <v>7</v>
      </c>
      <c r="H174" t="s">
        <v>8</v>
      </c>
      <c r="I174" t="s">
        <v>9</v>
      </c>
      <c r="J174" t="s">
        <v>10</v>
      </c>
      <c r="K174" t="s">
        <v>11</v>
      </c>
      <c r="L174" t="s">
        <v>12</v>
      </c>
      <c r="M174" t="s">
        <v>13</v>
      </c>
      <c r="N174" t="s">
        <v>14</v>
      </c>
      <c r="P174">
        <f>760*900</f>
        <v>684000</v>
      </c>
      <c r="Q174" t="s">
        <v>16</v>
      </c>
      <c r="R174" s="6"/>
    </row>
    <row r="175" spans="4:20" ht="15.75">
      <c r="D175" s="37">
        <f t="shared" ref="D175:D187" si="154">10^E175</f>
        <v>0.55290124546150077</v>
      </c>
      <c r="E175" s="37">
        <f t="shared" ref="E175:E185" si="155">LOG(J175)/(1+(F175/(I175-0.14*F175))^2)</f>
        <v>-0.25735243177143191</v>
      </c>
      <c r="F175" s="37">
        <f t="shared" ref="F175:F185" si="156">LOG(G175)+H175</f>
        <v>0.63239535765660271</v>
      </c>
      <c r="G175" s="20">
        <f t="shared" ref="G175:G185" si="157">M175*K175/L175</f>
        <v>6.3483445884516474</v>
      </c>
      <c r="H175" s="37">
        <f>-0.4-0.67*LOG(J175)</f>
        <v>-0.17026513459152323</v>
      </c>
      <c r="I175" s="37">
        <f t="shared" ref="I175:I185" si="158">0.75-1.27*LOG(J175)</f>
        <v>1.18546758069965</v>
      </c>
      <c r="J175" s="20">
        <f>(1-$B$10)*EXP(-O175/$B$11)+$B$10*EXP(-O175/$B$12)+EXP(-B$13/O175)</f>
        <v>0.45405884614340031</v>
      </c>
      <c r="K175" s="20">
        <f>$P$174*101325/760/8.314/O175/1000000</f>
        <v>3.656182343035843E-2</v>
      </c>
      <c r="L175" s="38">
        <f>B$4*O175^B$5*EXP(-B$6/1.987/O175)</f>
        <v>48271057302442.148</v>
      </c>
      <c r="M175" s="20">
        <f t="shared" ref="M175:M185" si="159">$B$7*O175^$B$8*EXP(-$B$9/1.987/O175)</f>
        <v>8381455755030811</v>
      </c>
      <c r="N175" s="37">
        <f t="shared" ref="N175:N185" si="160">10000/O175</f>
        <v>33.333333333333336</v>
      </c>
      <c r="O175" s="39">
        <v>300</v>
      </c>
      <c r="P175" s="40"/>
      <c r="Q175" s="20">
        <f t="shared" ref="Q175:Q185" si="161">L175/(1+L175/M175/K175)*D175</f>
        <v>23057135846001.68</v>
      </c>
      <c r="R175" s="20">
        <f>0.000000000048*6.02E+23</f>
        <v>28896000000000</v>
      </c>
      <c r="S175" s="20">
        <f>(R175-Q175)^2/Q175^2</f>
        <v>6.4127753431069273E-2</v>
      </c>
      <c r="T175" s="20"/>
    </row>
    <row r="176" spans="4:20" ht="15.75">
      <c r="D176" s="37">
        <f t="shared" si="154"/>
        <v>0.48683164916951749</v>
      </c>
      <c r="E176" s="37">
        <f t="shared" si="155"/>
        <v>-0.3126211958222479</v>
      </c>
      <c r="F176" s="37">
        <f t="shared" si="156"/>
        <v>0.35346365675703972</v>
      </c>
      <c r="G176" s="20">
        <f t="shared" si="157"/>
        <v>3.339864067245752</v>
      </c>
      <c r="H176" s="37">
        <f t="shared" ref="H176:H185" si="162">-0.4-0.67*LOG(J176)</f>
        <v>-0.17026513459152323</v>
      </c>
      <c r="I176" s="37">
        <f t="shared" si="158"/>
        <v>1.18546758069965</v>
      </c>
      <c r="J176" s="20">
        <f t="shared" ref="J176:J187" si="163">(1-$B$10)*EXP(-O176/$B$11)+$B$10*EXP(-O176/$B$12)+EXP(-B$13/O176)</f>
        <v>0.45405884614340031</v>
      </c>
      <c r="K176" s="20">
        <f t="shared" ref="K176:K187" si="164">$P$174*101325/760/8.314/O176/1000000</f>
        <v>2.7421367572768824E-2</v>
      </c>
      <c r="L176" s="38">
        <f t="shared" ref="L176:L187" si="165">B$4*O176^B$5*EXP(-B$6/1.987/O176)</f>
        <v>51915144096005.555</v>
      </c>
      <c r="M176" s="20">
        <f t="shared" si="159"/>
        <v>6323153790634473</v>
      </c>
      <c r="N176" s="37">
        <f t="shared" si="160"/>
        <v>25</v>
      </c>
      <c r="O176" s="39">
        <v>400</v>
      </c>
      <c r="P176" s="40"/>
      <c r="Q176" s="20">
        <f t="shared" si="161"/>
        <v>19450265437268.73</v>
      </c>
      <c r="R176" s="20">
        <f>0.000000000042*6.02E+23</f>
        <v>25284000000000</v>
      </c>
      <c r="S176" s="20">
        <f>(R176-Q176)^2/Q176^2</f>
        <v>8.9958512234446494E-2</v>
      </c>
      <c r="T176" s="20"/>
    </row>
    <row r="177" spans="4:24" ht="15.75">
      <c r="D177" s="37">
        <f t="shared" si="154"/>
        <v>0.45799782580333154</v>
      </c>
      <c r="E177" s="37">
        <f t="shared" si="155"/>
        <v>-0.33913658366394062</v>
      </c>
      <c r="F177" s="37">
        <f t="shared" si="156"/>
        <v>0.12286942500185263</v>
      </c>
      <c r="G177" s="20">
        <f t="shared" si="157"/>
        <v>1.963968688646974</v>
      </c>
      <c r="H177" s="37">
        <f t="shared" si="162"/>
        <v>-0.17026513459152323</v>
      </c>
      <c r="I177" s="37">
        <f t="shared" si="158"/>
        <v>1.18546758069965</v>
      </c>
      <c r="J177" s="20">
        <f t="shared" si="163"/>
        <v>0.45405884614340031</v>
      </c>
      <c r="K177" s="20">
        <f t="shared" si="164"/>
        <v>2.1937094058215059E-2</v>
      </c>
      <c r="L177" s="38">
        <f t="shared" si="165"/>
        <v>55914419404048.281</v>
      </c>
      <c r="M177" s="20">
        <f t="shared" si="159"/>
        <v>5005866714251614</v>
      </c>
      <c r="N177" s="37">
        <f t="shared" si="160"/>
        <v>20</v>
      </c>
      <c r="O177" s="39">
        <v>500</v>
      </c>
      <c r="P177" s="40"/>
      <c r="Q177" s="20">
        <f t="shared" si="161"/>
        <v>16968684863546.15</v>
      </c>
      <c r="R177" s="20">
        <f>0.000000000029*6.02E+23</f>
        <v>17458000000000</v>
      </c>
      <c r="S177" s="20">
        <f>(R177-Q177)^2/Q177^2</f>
        <v>8.3153576341866433E-4</v>
      </c>
      <c r="T177" s="20"/>
    </row>
    <row r="178" spans="4:24" ht="15.75">
      <c r="D178" s="37">
        <f t="shared" si="154"/>
        <v>0.45538681603981562</v>
      </c>
      <c r="E178" s="37">
        <f t="shared" si="155"/>
        <v>-0.3416195468522768</v>
      </c>
      <c r="F178" s="37">
        <f t="shared" si="156"/>
        <v>-7.2853760009989221E-2</v>
      </c>
      <c r="G178" s="20">
        <f t="shared" si="157"/>
        <v>1.2514438678667776</v>
      </c>
      <c r="H178" s="37">
        <f t="shared" si="162"/>
        <v>-0.17026513459152323</v>
      </c>
      <c r="I178" s="37">
        <f t="shared" si="158"/>
        <v>1.18546758069965</v>
      </c>
      <c r="J178" s="20">
        <f t="shared" si="163"/>
        <v>0.45405884614340031</v>
      </c>
      <c r="K178" s="20">
        <f t="shared" si="164"/>
        <v>1.8280911715179215E-2</v>
      </c>
      <c r="L178" s="38">
        <f t="shared" si="165"/>
        <v>59954213423504.078</v>
      </c>
      <c r="M178" s="20">
        <f t="shared" si="159"/>
        <v>4104244575467262</v>
      </c>
      <c r="N178" s="37">
        <f t="shared" si="160"/>
        <v>16.666666666666668</v>
      </c>
      <c r="O178" s="39">
        <v>600</v>
      </c>
      <c r="P178" s="40"/>
      <c r="Q178" s="20">
        <f t="shared" si="161"/>
        <v>15175758736180.08</v>
      </c>
      <c r="R178" s="20">
        <f>0.000000000022*6.02E+23</f>
        <v>13244000000000</v>
      </c>
      <c r="S178" s="20">
        <f>(R178-Q178)^2/Q178^2</f>
        <v>1.6203354843284404E-2</v>
      </c>
      <c r="T178" s="20"/>
    </row>
    <row r="179" spans="4:24" ht="15.75">
      <c r="D179" s="37">
        <f t="shared" si="154"/>
        <v>0.46791350459225267</v>
      </c>
      <c r="E179" s="37">
        <f t="shared" si="155"/>
        <v>-0.32983442032340093</v>
      </c>
      <c r="F179" s="37">
        <f t="shared" si="156"/>
        <v>-0.24258915025420599</v>
      </c>
      <c r="G179" s="20">
        <f t="shared" si="157"/>
        <v>0.8465955558399535</v>
      </c>
      <c r="H179" s="37">
        <f t="shared" si="162"/>
        <v>-0.17026513459152323</v>
      </c>
      <c r="I179" s="37">
        <f t="shared" si="158"/>
        <v>1.18546758069965</v>
      </c>
      <c r="J179" s="20">
        <f t="shared" si="163"/>
        <v>0.45405884614340031</v>
      </c>
      <c r="K179" s="20">
        <f t="shared" si="164"/>
        <v>1.5669352898725043E-2</v>
      </c>
      <c r="L179" s="38">
        <f t="shared" si="165"/>
        <v>63935043186733.742</v>
      </c>
      <c r="M179" s="20">
        <f t="shared" si="159"/>
        <v>3454330486661539.5</v>
      </c>
      <c r="N179" s="37">
        <f t="shared" si="160"/>
        <v>14.285714285714286</v>
      </c>
      <c r="O179" s="39">
        <v>700</v>
      </c>
      <c r="P179" s="40"/>
      <c r="Q179" s="20">
        <f t="shared" si="161"/>
        <v>13715408300900.348</v>
      </c>
      <c r="R179" s="20">
        <f>0.000000000021*6.02E+23</f>
        <v>12642000000000</v>
      </c>
      <c r="S179" s="20">
        <f>(R179-Q179)^2/Q179^2</f>
        <v>6.1250891922572156E-3</v>
      </c>
      <c r="T179" s="20"/>
    </row>
    <row r="180" spans="4:24" ht="15.75">
      <c r="D180" s="2">
        <f t="shared" si="154"/>
        <v>0.48785791339409434</v>
      </c>
      <c r="E180" s="2">
        <f t="shared" si="155"/>
        <v>-0.31170664605885096</v>
      </c>
      <c r="F180" s="2">
        <f t="shared" si="156"/>
        <v>-0.39231254388287873</v>
      </c>
      <c r="G180" s="6">
        <f t="shared" si="157"/>
        <v>0.59972560427957322</v>
      </c>
      <c r="H180" s="2">
        <f t="shared" si="162"/>
        <v>-0.17026513459152323</v>
      </c>
      <c r="I180" s="2">
        <f t="shared" si="158"/>
        <v>1.18546758069965</v>
      </c>
      <c r="J180" s="4">
        <f t="shared" si="163"/>
        <v>0.45405884614340031</v>
      </c>
      <c r="K180" s="6">
        <f t="shared" si="164"/>
        <v>1.3710683786384412E-2</v>
      </c>
      <c r="L180" s="9">
        <f t="shared" si="165"/>
        <v>67823786331033.422</v>
      </c>
      <c r="M180" s="6">
        <f t="shared" si="159"/>
        <v>2966712811384449</v>
      </c>
      <c r="N180" s="2">
        <f t="shared" si="160"/>
        <v>12.5</v>
      </c>
      <c r="O180" s="12">
        <v>800</v>
      </c>
      <c r="P180" s="13"/>
      <c r="Q180" s="6">
        <f t="shared" si="161"/>
        <v>12404591866452.443</v>
      </c>
      <c r="R180" s="6"/>
      <c r="S180" s="6"/>
      <c r="T180" s="6"/>
    </row>
    <row r="181" spans="4:24" ht="15.75">
      <c r="D181" s="2">
        <f t="shared" si="154"/>
        <v>0.51061166694945093</v>
      </c>
      <c r="E181" s="2">
        <f t="shared" si="155"/>
        <v>-0.29190926623783947</v>
      </c>
      <c r="F181" s="2">
        <f t="shared" si="156"/>
        <v>-0.52618923209256951</v>
      </c>
      <c r="G181" s="6">
        <f t="shared" si="157"/>
        <v>0.44063186687350536</v>
      </c>
      <c r="H181" s="2">
        <f t="shared" si="162"/>
        <v>-0.17026513459152323</v>
      </c>
      <c r="I181" s="2">
        <f t="shared" si="158"/>
        <v>1.18546758069965</v>
      </c>
      <c r="J181" s="4">
        <f t="shared" si="163"/>
        <v>0.45405884614340031</v>
      </c>
      <c r="K181" s="6">
        <f t="shared" si="164"/>
        <v>1.2187274476786143E-2</v>
      </c>
      <c r="L181" s="9">
        <f t="shared" si="165"/>
        <v>71611384152110.969</v>
      </c>
      <c r="M181" s="6">
        <f t="shared" si="159"/>
        <v>2589115224117070.5</v>
      </c>
      <c r="N181" s="2">
        <f t="shared" si="160"/>
        <v>11.111111111111111</v>
      </c>
      <c r="O181" s="12">
        <v>900</v>
      </c>
      <c r="P181" s="13"/>
      <c r="Q181" s="6">
        <f t="shared" si="161"/>
        <v>11183962114266.537</v>
      </c>
      <c r="R181" s="6"/>
      <c r="S181" s="6"/>
      <c r="T181" s="6"/>
    </row>
    <row r="182" spans="4:24" ht="15.75">
      <c r="D182" s="2">
        <f t="shared" si="154"/>
        <v>0.53366807409636008</v>
      </c>
      <c r="E182" s="2">
        <f t="shared" si="155"/>
        <v>-0.27272877744469093</v>
      </c>
      <c r="F182" s="2">
        <f t="shared" si="156"/>
        <v>-0.64722302542206256</v>
      </c>
      <c r="G182" s="6">
        <f t="shared" si="157"/>
        <v>0.33345874333753095</v>
      </c>
      <c r="H182" s="2">
        <f t="shared" si="162"/>
        <v>-0.17026513459152323</v>
      </c>
      <c r="I182" s="2">
        <f t="shared" si="158"/>
        <v>1.18546758069965</v>
      </c>
      <c r="J182" s="4">
        <f t="shared" si="163"/>
        <v>0.45405884614340031</v>
      </c>
      <c r="K182" s="6">
        <f t="shared" si="164"/>
        <v>1.0968547029107529E-2</v>
      </c>
      <c r="L182" s="9">
        <f t="shared" si="165"/>
        <v>75298240556451.203</v>
      </c>
      <c r="M182" s="6">
        <f t="shared" si="159"/>
        <v>2289168894006587.5</v>
      </c>
      <c r="N182" s="2">
        <f t="shared" si="160"/>
        <v>10</v>
      </c>
      <c r="O182" s="12">
        <v>1000</v>
      </c>
      <c r="P182" s="13"/>
      <c r="Q182" s="6">
        <f t="shared" si="161"/>
        <v>10048901212415.811</v>
      </c>
      <c r="S182" s="6"/>
      <c r="T182" s="6"/>
    </row>
    <row r="183" spans="4:24" ht="15.75">
      <c r="D183" s="2">
        <f t="shared" si="154"/>
        <v>0.55577505988188058</v>
      </c>
      <c r="E183" s="2">
        <f t="shared" si="155"/>
        <v>-0.25510094586145254</v>
      </c>
      <c r="F183" s="2">
        <f t="shared" si="156"/>
        <v>-0.757645458438579</v>
      </c>
      <c r="G183" s="6">
        <f t="shared" si="157"/>
        <v>0.25859473367396885</v>
      </c>
      <c r="H183" s="2">
        <f t="shared" si="162"/>
        <v>-0.17026513459152323</v>
      </c>
      <c r="I183" s="2">
        <f t="shared" si="158"/>
        <v>1.18546758069965</v>
      </c>
      <c r="J183" s="4">
        <f t="shared" si="163"/>
        <v>0.45405884614340031</v>
      </c>
      <c r="K183" s="6">
        <f t="shared" si="164"/>
        <v>9.9714063900977548E-3</v>
      </c>
      <c r="L183" s="9">
        <f t="shared" si="165"/>
        <v>78888524675193.109</v>
      </c>
      <c r="M183" s="6">
        <f t="shared" si="159"/>
        <v>2045865571036453.2</v>
      </c>
      <c r="N183" s="2">
        <f t="shared" si="160"/>
        <v>9.0909090909090917</v>
      </c>
      <c r="O183" s="12">
        <v>1100</v>
      </c>
      <c r="P183" s="13"/>
      <c r="Q183" s="6">
        <f t="shared" si="161"/>
        <v>9008379099850.8398</v>
      </c>
      <c r="S183" s="6"/>
      <c r="T183" s="6"/>
    </row>
    <row r="184" spans="4:24" ht="15.75">
      <c r="D184" s="2">
        <f t="shared" si="154"/>
        <v>0.57638125732723355</v>
      </c>
      <c r="E184" s="2">
        <f t="shared" si="155"/>
        <v>-0.23929014994635875</v>
      </c>
      <c r="F184" s="2">
        <f t="shared" si="156"/>
        <v>-0.85915704362323486</v>
      </c>
      <c r="G184" s="6">
        <f t="shared" si="157"/>
        <v>0.20469540369615893</v>
      </c>
      <c r="H184" s="2">
        <f t="shared" si="162"/>
        <v>-0.17026513459152323</v>
      </c>
      <c r="I184" s="2">
        <f t="shared" si="158"/>
        <v>1.18546758069965</v>
      </c>
      <c r="J184" s="4">
        <f t="shared" si="163"/>
        <v>0.45405884614340031</v>
      </c>
      <c r="K184" s="6">
        <f t="shared" si="164"/>
        <v>9.1404558575896074E-3</v>
      </c>
      <c r="L184" s="9">
        <f t="shared" si="165"/>
        <v>82387769635664.406</v>
      </c>
      <c r="M184" s="6">
        <f t="shared" si="159"/>
        <v>1845028084807765</v>
      </c>
      <c r="N184" s="2">
        <f t="shared" si="160"/>
        <v>8.3333333333333339</v>
      </c>
      <c r="O184" s="12">
        <v>1200</v>
      </c>
      <c r="P184" s="13"/>
      <c r="Q184" s="6">
        <f t="shared" si="161"/>
        <v>8068697496602.4551</v>
      </c>
      <c r="S184" s="6"/>
      <c r="T184" s="6"/>
    </row>
    <row r="185" spans="4:24" ht="15.75">
      <c r="D185" s="2">
        <f t="shared" si="154"/>
        <v>0.59530842779133286</v>
      </c>
      <c r="E185" s="2">
        <f t="shared" si="155"/>
        <v>-0.22525796909050766</v>
      </c>
      <c r="F185" s="2">
        <f t="shared" si="156"/>
        <v>-0.95308213256481411</v>
      </c>
      <c r="G185" s="6">
        <f t="shared" si="157"/>
        <v>0.16488570368107916</v>
      </c>
      <c r="H185" s="2">
        <f t="shared" si="162"/>
        <v>-0.17026513459152323</v>
      </c>
      <c r="I185" s="2">
        <f t="shared" si="158"/>
        <v>1.18546758069965</v>
      </c>
      <c r="J185" s="4">
        <f t="shared" si="163"/>
        <v>0.45405884614340031</v>
      </c>
      <c r="K185" s="6">
        <f t="shared" si="164"/>
        <v>8.4373438685442538E-3</v>
      </c>
      <c r="L185" s="9">
        <f t="shared" si="165"/>
        <v>85801817887422.609</v>
      </c>
      <c r="M185" s="6">
        <f t="shared" si="159"/>
        <v>1676770953027950.5</v>
      </c>
      <c r="N185" s="2">
        <f t="shared" si="160"/>
        <v>7.6923076923076925</v>
      </c>
      <c r="O185" s="12">
        <v>1300</v>
      </c>
      <c r="P185" s="13"/>
      <c r="Q185" s="6">
        <f t="shared" si="161"/>
        <v>7229998496448.377</v>
      </c>
      <c r="S185" s="6"/>
      <c r="T185" s="6"/>
    </row>
    <row r="186" spans="4:24" ht="15.75">
      <c r="D186" s="2">
        <f t="shared" si="154"/>
        <v>0.6282580618191812</v>
      </c>
      <c r="E186" s="2">
        <f>LOG(J186)/(1+(F186/(I186-0.14*F186))^2)</f>
        <v>-0.20186192982472878</v>
      </c>
      <c r="F186" s="2">
        <f>LOG(G186)+H186</f>
        <v>-1.1221729417570836</v>
      </c>
      <c r="G186" s="6">
        <f>M186*K186/L186</f>
        <v>0.11171003627395318</v>
      </c>
      <c r="H186" s="2">
        <f>-0.4-0.67*LOG(J186)</f>
        <v>-0.17026513459152323</v>
      </c>
      <c r="I186" s="2">
        <f>0.75-1.27*LOG(J186)</f>
        <v>1.18546758069965</v>
      </c>
      <c r="J186" s="4">
        <f t="shared" si="163"/>
        <v>0.45405884614340031</v>
      </c>
      <c r="K186" s="6">
        <f t="shared" si="164"/>
        <v>7.3123646860716865E-3</v>
      </c>
      <c r="L186" s="9">
        <f t="shared" si="165"/>
        <v>92396720595423.437</v>
      </c>
      <c r="M186" s="6">
        <f>$B$7*O186^$B$8*EXP(-$B$9/1.987/O186)</f>
        <v>1411532582472170.2</v>
      </c>
      <c r="N186" s="2">
        <f>10000/O186</f>
        <v>6.666666666666667</v>
      </c>
      <c r="O186" s="12">
        <v>1500</v>
      </c>
      <c r="P186" s="13"/>
      <c r="Q186" s="6">
        <f>L186/(1+L186/M186/K186)*D186</f>
        <v>5833044556327.0156</v>
      </c>
      <c r="S186" s="6"/>
      <c r="T186" s="6"/>
    </row>
    <row r="187" spans="4:24" ht="15.75">
      <c r="D187" s="2">
        <f t="shared" si="154"/>
        <v>0.66730355993958035</v>
      </c>
      <c r="E187" s="2">
        <f>LOG(J187)/(1+(F187/(I187-0.14*F187))^2)</f>
        <v>-0.17567655826328285</v>
      </c>
      <c r="F187" s="2">
        <f>LOG(G187)+H187</f>
        <v>-1.3395105710213664</v>
      </c>
      <c r="G187" s="6">
        <f>M187*K187/L187</f>
        <v>6.7725865465763604E-2</v>
      </c>
      <c r="H187" s="2">
        <f>-0.4-0.67*LOG(J187)</f>
        <v>-0.17026513459152323</v>
      </c>
      <c r="I187" s="2">
        <f>0.75-1.27*LOG(J187)</f>
        <v>1.18546758069965</v>
      </c>
      <c r="J187" s="4">
        <f t="shared" si="163"/>
        <v>0.45405884614340031</v>
      </c>
      <c r="K187" s="6">
        <f t="shared" si="164"/>
        <v>6.0936372383930716E-3</v>
      </c>
      <c r="L187" s="9">
        <f t="shared" si="165"/>
        <v>101779852540394.17</v>
      </c>
      <c r="M187" s="6">
        <f>$B$7*O187^$B$8*EXP(-$B$9/1.987/O187)</f>
        <v>1131201010267843.2</v>
      </c>
      <c r="N187" s="2">
        <f>10000/O187</f>
        <v>5.5555555555555554</v>
      </c>
      <c r="O187" s="12">
        <v>1800</v>
      </c>
      <c r="P187" s="13"/>
      <c r="Q187" s="6">
        <f>L187/(1+L187/M187/K187)*D187</f>
        <v>4308043293564.8491</v>
      </c>
      <c r="S187" s="6"/>
      <c r="T187" s="6"/>
    </row>
    <row r="188" spans="4:24">
      <c r="D188" s="2" t="s">
        <v>4</v>
      </c>
      <c r="E188" s="2" t="s">
        <v>5</v>
      </c>
      <c r="F188" t="s">
        <v>6</v>
      </c>
      <c r="G188" t="s">
        <v>7</v>
      </c>
      <c r="H188" t="s">
        <v>8</v>
      </c>
      <c r="I188" t="s">
        <v>9</v>
      </c>
      <c r="J188" t="s">
        <v>10</v>
      </c>
      <c r="K188" t="s">
        <v>11</v>
      </c>
      <c r="L188" t="s">
        <v>12</v>
      </c>
      <c r="M188" t="s">
        <v>13</v>
      </c>
      <c r="N188" t="s">
        <v>14</v>
      </c>
      <c r="O188" t="s">
        <v>15</v>
      </c>
      <c r="Q188" t="s">
        <v>16</v>
      </c>
    </row>
    <row r="189" spans="4:24" ht="15.75">
      <c r="D189" s="42">
        <f>10^E189</f>
        <v>0.86302013093256558</v>
      </c>
      <c r="E189" s="42">
        <f t="shared" ref="E189:E198" si="166">LOG(J189)/(1+(F189/(I189-0.14*F189))^2)</f>
        <v>-6.3979073750652954E-2</v>
      </c>
      <c r="F189" s="42">
        <f t="shared" ref="F189:F198" si="167">LOG(G189)+H189</f>
        <v>-3.4974965436228973</v>
      </c>
      <c r="G189" s="36">
        <f t="shared" ref="G189:G198" si="168">M189*K189/L189</f>
        <v>4.7072643816336641E-4</v>
      </c>
      <c r="H189" s="42">
        <f>-0.4-0.67*LOG(J189)</f>
        <v>-0.17026513459152323</v>
      </c>
      <c r="I189" s="42">
        <f t="shared" ref="I189:I198" si="169">0.75-1.27*LOG(J189)</f>
        <v>1.18546758069965</v>
      </c>
      <c r="J189" s="36">
        <f>(1-$B$10)*EXP(-O189/$B$11)+$B$10*EXP(-O189/$B$12)+EXP(-B$13/O189)</f>
        <v>0.45405884614340031</v>
      </c>
      <c r="K189" s="36">
        <f>50*101325/760/8.314/O189/1000000</f>
        <v>2.6905851458817871E-6</v>
      </c>
      <c r="L189" s="43">
        <f>B$4*O189^B$5*EXP(-B$6/1.987/O189)</f>
        <v>48206958106244.187</v>
      </c>
      <c r="M189" s="36">
        <f t="shared" ref="M189:M198" si="170">$B$7*O189^$B$8*EXP(-$B$9/1.987/O189)</f>
        <v>8433960812864739</v>
      </c>
      <c r="N189" s="42">
        <f t="shared" ref="N189:N198" si="171">10000/O189</f>
        <v>33.557046979865774</v>
      </c>
      <c r="O189" s="44">
        <v>298</v>
      </c>
      <c r="P189" s="45"/>
      <c r="Q189" s="36">
        <f t="shared" ref="Q189:Q198" si="172">L189/(1+L189/M189/K189)*D189</f>
        <v>19574688490.89098</v>
      </c>
      <c r="R189" s="36">
        <f>0.0000000000000314*6.02E+23</f>
        <v>18902800000</v>
      </c>
      <c r="S189" s="53">
        <f t="shared" ref="S189:S198" si="173">(R189-Q189)^2/R189^2</f>
        <v>1.2634036439209458E-3</v>
      </c>
      <c r="T189" s="36"/>
      <c r="U189" s="35" t="s">
        <v>15</v>
      </c>
      <c r="V189" s="35" t="s">
        <v>56</v>
      </c>
      <c r="W189" s="35" t="s">
        <v>21</v>
      </c>
      <c r="X189" s="24"/>
    </row>
    <row r="190" spans="4:24" ht="15.75">
      <c r="D190" s="42">
        <f>10^E190</f>
        <v>0.82668301507325126</v>
      </c>
      <c r="E190" s="42">
        <f t="shared" si="166"/>
        <v>-8.2660985241152909E-2</v>
      </c>
      <c r="F190" s="42">
        <f t="shared" si="167"/>
        <v>-2.7985265392868786</v>
      </c>
      <c r="G190" s="36">
        <f t="shared" si="168"/>
        <v>2.3536321908168324E-3</v>
      </c>
      <c r="H190" s="42">
        <f t="shared" ref="H190:H198" si="174">-0.4-0.67*LOG(J190)</f>
        <v>-0.17026513459152323</v>
      </c>
      <c r="I190" s="42">
        <f t="shared" si="169"/>
        <v>1.18546758069965</v>
      </c>
      <c r="J190" s="36">
        <f t="shared" ref="J190:J211" si="175">(1-$B$10)*EXP(-O190/$B$11)+$B$10*EXP(-O190/$B$12)+EXP(-B$13/O190)</f>
        <v>0.45405884614340031</v>
      </c>
      <c r="K190" s="36">
        <f>250*101325/760/8.314/O190/1000000</f>
        <v>1.3452925729408937E-5</v>
      </c>
      <c r="L190" s="43">
        <f t="shared" ref="L190:L211" si="176">B$4*O190^B$5*EXP(-B$6/1.987/O190)</f>
        <v>48206958106244.187</v>
      </c>
      <c r="M190" s="36">
        <f t="shared" si="170"/>
        <v>8433960812864739</v>
      </c>
      <c r="N190" s="42">
        <f t="shared" si="171"/>
        <v>33.557046979865774</v>
      </c>
      <c r="O190" s="44">
        <v>298</v>
      </c>
      <c r="P190" s="45"/>
      <c r="Q190" s="36">
        <f t="shared" si="172"/>
        <v>93576407828.834381</v>
      </c>
      <c r="R190" s="36">
        <f>0.0000000000001284*6.02E+23</f>
        <v>77296799999.999985</v>
      </c>
      <c r="S190" s="53">
        <f t="shared" si="173"/>
        <v>4.4357273879085571E-2</v>
      </c>
      <c r="T190" s="36"/>
      <c r="U190" s="35">
        <v>298</v>
      </c>
      <c r="V190" s="35">
        <v>50</v>
      </c>
      <c r="W190" s="36">
        <f>0.0000000000000314*6.02E+23</f>
        <v>18902800000</v>
      </c>
      <c r="X190" s="20"/>
    </row>
    <row r="191" spans="4:24" ht="15.75">
      <c r="D191" s="48">
        <f t="shared" ref="D191:D198" si="177">10^E191</f>
        <v>0.87794471899992377</v>
      </c>
      <c r="E191" s="48">
        <f t="shared" si="166"/>
        <v>-5.6532829184019424E-2</v>
      </c>
      <c r="F191" s="48">
        <f t="shared" si="167"/>
        <v>-3.8954365522949348</v>
      </c>
      <c r="G191" s="47">
        <f t="shared" si="168"/>
        <v>1.8829057526534656E-4</v>
      </c>
      <c r="H191" s="48">
        <f t="shared" si="174"/>
        <v>-0.17026513459152323</v>
      </c>
      <c r="I191" s="48">
        <f t="shared" si="169"/>
        <v>1.18546758069965</v>
      </c>
      <c r="J191" s="47">
        <f t="shared" si="175"/>
        <v>0.45405884614340031</v>
      </c>
      <c r="K191" s="47">
        <f>20*101325/760/8.314/O191/1000000</f>
        <v>1.0762340583527147E-6</v>
      </c>
      <c r="L191" s="49">
        <f t="shared" si="176"/>
        <v>48206958106244.187</v>
      </c>
      <c r="M191" s="47">
        <f t="shared" si="170"/>
        <v>8433960812864739</v>
      </c>
      <c r="N191" s="48">
        <f t="shared" si="171"/>
        <v>33.557046979865774</v>
      </c>
      <c r="O191" s="50">
        <v>298</v>
      </c>
      <c r="P191" s="51"/>
      <c r="Q191" s="47">
        <f t="shared" si="172"/>
        <v>7967530145.2142944</v>
      </c>
      <c r="R191" s="47">
        <f>2.04E-32*6.02E+23*20/760*101325*6.02E+23/1000000/298/8.314</f>
        <v>7956643164.7384462</v>
      </c>
      <c r="S191" s="53">
        <f t="shared" si="173"/>
        <v>1.8722124338323362E-6</v>
      </c>
      <c r="T191" s="47"/>
      <c r="U191" s="35">
        <v>298</v>
      </c>
      <c r="V191" s="35">
        <v>250</v>
      </c>
      <c r="W191" s="36">
        <f>0.0000000000001284*6.02E+23</f>
        <v>77296799999.999985</v>
      </c>
      <c r="X191" s="20"/>
    </row>
    <row r="192" spans="4:24" ht="15.75">
      <c r="D192" s="48">
        <f t="shared" si="177"/>
        <v>0.86302013093256558</v>
      </c>
      <c r="E192" s="48">
        <f t="shared" si="166"/>
        <v>-6.3979073750652954E-2</v>
      </c>
      <c r="F192" s="48">
        <f t="shared" si="167"/>
        <v>-3.4974965436228973</v>
      </c>
      <c r="G192" s="47">
        <f t="shared" si="168"/>
        <v>4.7072643816336641E-4</v>
      </c>
      <c r="H192" s="48">
        <f t="shared" si="174"/>
        <v>-0.17026513459152323</v>
      </c>
      <c r="I192" s="48">
        <f t="shared" si="169"/>
        <v>1.18546758069965</v>
      </c>
      <c r="J192" s="47">
        <f t="shared" si="175"/>
        <v>0.45405884614340031</v>
      </c>
      <c r="K192" s="47">
        <f>50*101325/760/8.314/O192/1000000</f>
        <v>2.6905851458817871E-6</v>
      </c>
      <c r="L192" s="49">
        <f t="shared" si="176"/>
        <v>48206958106244.187</v>
      </c>
      <c r="M192" s="47">
        <f t="shared" si="170"/>
        <v>8433960812864739</v>
      </c>
      <c r="N192" s="48">
        <f t="shared" si="171"/>
        <v>33.557046979865774</v>
      </c>
      <c r="O192" s="50">
        <v>298</v>
      </c>
      <c r="P192" s="51"/>
      <c r="Q192" s="47">
        <f t="shared" si="172"/>
        <v>19574688490.89098</v>
      </c>
      <c r="R192" s="47">
        <f>2.19E-32*6.02E+23*50/760*101325*6.02E+23/1000000/298/8.314</f>
        <v>21354226140.658337</v>
      </c>
      <c r="S192" s="53">
        <f t="shared" si="173"/>
        <v>6.9445912132989184E-3</v>
      </c>
      <c r="T192" s="47"/>
      <c r="U192" s="24"/>
      <c r="V192" s="24"/>
      <c r="W192" s="24" t="s">
        <v>22</v>
      </c>
      <c r="X192" s="20"/>
    </row>
    <row r="193" spans="4:24" ht="15.75">
      <c r="D193" s="48">
        <f t="shared" si="177"/>
        <v>0.83994967108756224</v>
      </c>
      <c r="E193" s="48">
        <f t="shared" si="166"/>
        <v>-7.5746735633094878E-2</v>
      </c>
      <c r="F193" s="48">
        <f t="shared" si="167"/>
        <v>-3.0203752889032347</v>
      </c>
      <c r="G193" s="47">
        <f t="shared" si="168"/>
        <v>1.4121793144900991E-3</v>
      </c>
      <c r="H193" s="48">
        <f t="shared" si="174"/>
        <v>-0.17026513459152323</v>
      </c>
      <c r="I193" s="48">
        <f t="shared" si="169"/>
        <v>1.18546758069965</v>
      </c>
      <c r="J193" s="47">
        <f t="shared" si="175"/>
        <v>0.45405884614340031</v>
      </c>
      <c r="K193" s="47">
        <f>150*101325/760/8.314/O193/1000000</f>
        <v>8.0717554376453607E-6</v>
      </c>
      <c r="L193" s="49">
        <f t="shared" si="176"/>
        <v>48206958106244.187</v>
      </c>
      <c r="M193" s="47">
        <f t="shared" si="170"/>
        <v>8433960812864739</v>
      </c>
      <c r="N193" s="48">
        <f t="shared" si="171"/>
        <v>33.557046979865774</v>
      </c>
      <c r="O193" s="50">
        <v>298</v>
      </c>
      <c r="P193" s="51"/>
      <c r="Q193" s="47">
        <f t="shared" si="172"/>
        <v>57100507613.308266</v>
      </c>
      <c r="R193" s="47">
        <f>2.02E-32*6.02E+23*150/760*101325*6.02E+23/1000000/298/8.314</f>
        <v>59089776444.013481</v>
      </c>
      <c r="S193" s="53">
        <f t="shared" si="173"/>
        <v>1.133345336397212E-3</v>
      </c>
      <c r="T193" s="47"/>
      <c r="U193" s="46">
        <v>298</v>
      </c>
      <c r="V193" s="46">
        <v>20</v>
      </c>
      <c r="W193" s="47">
        <f>2.04E-32*6.02E+23*20/760*101325*6.02E+23/1000000/298/8.314</f>
        <v>7956643164.7384462</v>
      </c>
      <c r="X193" s="20"/>
    </row>
    <row r="194" spans="4:24" ht="15.75">
      <c r="D194" s="48">
        <f t="shared" si="177"/>
        <v>0.82147136764976958</v>
      </c>
      <c r="E194" s="48">
        <f t="shared" si="166"/>
        <v>-8.5407569281159182E-2</v>
      </c>
      <c r="F194" s="48">
        <f t="shared" si="167"/>
        <v>-2.7193452932392534</v>
      </c>
      <c r="G194" s="47">
        <f t="shared" si="168"/>
        <v>2.8243586289801981E-3</v>
      </c>
      <c r="H194" s="48">
        <f t="shared" si="174"/>
        <v>-0.17026513459152323</v>
      </c>
      <c r="I194" s="48">
        <f t="shared" si="169"/>
        <v>1.18546758069965</v>
      </c>
      <c r="J194" s="47">
        <f t="shared" si="175"/>
        <v>0.45405884614340031</v>
      </c>
      <c r="K194" s="47">
        <f>300*101325/760/8.314/O194/1000000</f>
        <v>1.6143510875290721E-5</v>
      </c>
      <c r="L194" s="49">
        <f t="shared" si="176"/>
        <v>48206958106244.187</v>
      </c>
      <c r="M194" s="47">
        <f t="shared" si="170"/>
        <v>8433960812864739</v>
      </c>
      <c r="N194" s="48">
        <f t="shared" si="171"/>
        <v>33.557046979865774</v>
      </c>
      <c r="O194" s="50">
        <v>298</v>
      </c>
      <c r="P194" s="51"/>
      <c r="Q194" s="47">
        <f t="shared" si="172"/>
        <v>111531392799.47771</v>
      </c>
      <c r="R194" s="47">
        <f>2.02E-32*6.02E+23*300/760*101325*6.02E+23/1000000/298/8.314</f>
        <v>118179552888.02696</v>
      </c>
      <c r="S194" s="53">
        <f t="shared" si="173"/>
        <v>3.164595836745286E-3</v>
      </c>
      <c r="T194" s="47"/>
      <c r="U194" s="46"/>
      <c r="V194" s="46">
        <v>50</v>
      </c>
      <c r="W194" s="47">
        <f>2.19E-32*6.02E+23*50/760*101325*6.02E+23/1000000/298/8.314</f>
        <v>21354226140.658337</v>
      </c>
      <c r="X194" s="20"/>
    </row>
    <row r="195" spans="4:24" ht="15.75">
      <c r="D195" s="48">
        <f t="shared" si="177"/>
        <v>0.87019201277276093</v>
      </c>
      <c r="E195" s="48">
        <f t="shared" si="166"/>
        <v>-6.0384907281678238E-2</v>
      </c>
      <c r="F195" s="48">
        <f t="shared" si="167"/>
        <v>-3.6777994804868954</v>
      </c>
      <c r="G195" s="47">
        <f t="shared" si="168"/>
        <v>3.1078901075615899E-4</v>
      </c>
      <c r="H195" s="48">
        <f t="shared" si="174"/>
        <v>-0.17026513459152323</v>
      </c>
      <c r="I195" s="48">
        <f t="shared" si="169"/>
        <v>1.18546758069965</v>
      </c>
      <c r="J195" s="47">
        <f t="shared" si="175"/>
        <v>0.45405884614340031</v>
      </c>
      <c r="K195" s="47">
        <f>50*101325/760/8.314/O195/1000000</f>
        <v>2.2272065929799238E-6</v>
      </c>
      <c r="L195" s="49">
        <f t="shared" si="176"/>
        <v>50381759579446.578</v>
      </c>
      <c r="M195" s="47">
        <f t="shared" si="170"/>
        <v>7030374851261937</v>
      </c>
      <c r="N195" s="48">
        <f t="shared" si="171"/>
        <v>27.777777777777779</v>
      </c>
      <c r="O195" s="50">
        <v>360</v>
      </c>
      <c r="P195" s="51"/>
      <c r="Q195" s="47">
        <f t="shared" si="172"/>
        <v>13621317780.055515</v>
      </c>
      <c r="R195" s="47">
        <f>1.76E-32*6.02E+23*50/760*101325*6.02E+23/1000000/360/8.314</f>
        <v>14205814974.952419</v>
      </c>
      <c r="S195" s="53">
        <f t="shared" si="173"/>
        <v>1.6929048717262459E-3</v>
      </c>
      <c r="T195" s="46"/>
      <c r="U195" s="46"/>
      <c r="V195" s="46">
        <v>150</v>
      </c>
      <c r="W195" s="47">
        <f>2.02E-32*6.02E+23*150/760*101325*6.02E+23/1000000/298/8.314</f>
        <v>59089776444.013481</v>
      </c>
      <c r="X195" s="20"/>
    </row>
    <row r="196" spans="4:24" ht="15.75">
      <c r="D196" s="48">
        <f t="shared" si="177"/>
        <v>0.84945433045372498</v>
      </c>
      <c r="E196" s="48">
        <f t="shared" si="166"/>
        <v>-7.0859965311829212E-2</v>
      </c>
      <c r="F196" s="48">
        <f t="shared" si="167"/>
        <v>-3.2006782257672328</v>
      </c>
      <c r="G196" s="47">
        <f t="shared" si="168"/>
        <v>9.3236703226847687E-4</v>
      </c>
      <c r="H196" s="48">
        <f t="shared" si="174"/>
        <v>-0.17026513459152323</v>
      </c>
      <c r="I196" s="48">
        <f t="shared" si="169"/>
        <v>1.18546758069965</v>
      </c>
      <c r="J196" s="47">
        <f t="shared" si="175"/>
        <v>0.45405884614340031</v>
      </c>
      <c r="K196" s="47">
        <f>150*101325/760/8.314/O196/1000000</f>
        <v>6.6816197789397713E-6</v>
      </c>
      <c r="L196" s="49">
        <f t="shared" si="176"/>
        <v>50381759579446.578</v>
      </c>
      <c r="M196" s="47">
        <f t="shared" si="170"/>
        <v>7030374851261937</v>
      </c>
      <c r="N196" s="48">
        <f t="shared" si="171"/>
        <v>27.777777777777779</v>
      </c>
      <c r="O196" s="50">
        <v>360</v>
      </c>
      <c r="P196" s="51"/>
      <c r="Q196" s="47">
        <f t="shared" si="172"/>
        <v>39865346335.54995</v>
      </c>
      <c r="R196" s="47">
        <f>1.81E-32*6.02E+23*150/760*101325*6.02E+23/1000000/360/8.314</f>
        <v>43828167792.040688</v>
      </c>
      <c r="S196" s="53">
        <f t="shared" si="173"/>
        <v>8.175275186934285E-3</v>
      </c>
      <c r="T196" s="47"/>
      <c r="U196" s="46"/>
      <c r="V196" s="46">
        <v>300</v>
      </c>
      <c r="W196" s="47">
        <f>2.02E-32*6.02E+23*300/760*101325*6.02E+23/1000000/298/8.314</f>
        <v>118179552888.02696</v>
      </c>
      <c r="X196" s="20"/>
    </row>
    <row r="197" spans="4:24" ht="15.75">
      <c r="D197" s="48">
        <f t="shared" si="177"/>
        <v>0.81862712765780776</v>
      </c>
      <c r="E197" s="48">
        <f t="shared" si="166"/>
        <v>-8.6913867805964398E-2</v>
      </c>
      <c r="F197" s="48">
        <f t="shared" si="167"/>
        <v>-2.6777994804868954</v>
      </c>
      <c r="G197" s="47">
        <f t="shared" si="168"/>
        <v>3.1078901075615906E-3</v>
      </c>
      <c r="H197" s="48">
        <f t="shared" si="174"/>
        <v>-0.17026513459152323</v>
      </c>
      <c r="I197" s="48">
        <f t="shared" si="169"/>
        <v>1.18546758069965</v>
      </c>
      <c r="J197" s="47">
        <f t="shared" si="175"/>
        <v>0.45405884614340031</v>
      </c>
      <c r="K197" s="47">
        <f>500*101325/760/8.314/O197/1000000</f>
        <v>2.2272065929799244E-5</v>
      </c>
      <c r="L197" s="49">
        <f t="shared" si="176"/>
        <v>50381759579446.578</v>
      </c>
      <c r="M197" s="47">
        <f t="shared" si="170"/>
        <v>7030374851261937</v>
      </c>
      <c r="N197" s="48">
        <f t="shared" si="171"/>
        <v>27.777777777777779</v>
      </c>
      <c r="O197" s="50">
        <v>360</v>
      </c>
      <c r="P197" s="51"/>
      <c r="Q197" s="47">
        <f t="shared" si="172"/>
        <v>127784291979.78625</v>
      </c>
      <c r="R197" s="47">
        <f>1.81E-32*6.02E+23*500/760*101325*6.02E+23/1000000/360/8.314</f>
        <v>146093892640.13559</v>
      </c>
      <c r="S197" s="53">
        <f t="shared" si="173"/>
        <v>1.5707013706106495E-2</v>
      </c>
      <c r="T197" s="47"/>
      <c r="U197" s="46">
        <v>360</v>
      </c>
      <c r="V197" s="46">
        <v>50</v>
      </c>
      <c r="W197" s="47">
        <f>1.76E-32*6.02E+23*50/760*101325*6.02E+23/1000000/360/8.314</f>
        <v>14205814974.952419</v>
      </c>
      <c r="X197" s="20"/>
    </row>
    <row r="198" spans="4:24" ht="15.75">
      <c r="D198" s="52">
        <f t="shared" si="177"/>
        <v>0.7882021636570451</v>
      </c>
      <c r="E198" s="52">
        <f t="shared" si="166"/>
        <v>-0.10336237730722656</v>
      </c>
      <c r="F198" s="52">
        <f t="shared" si="167"/>
        <v>-2.2933765609669723</v>
      </c>
      <c r="G198" s="53">
        <f t="shared" si="168"/>
        <v>7.5316230106138625E-3</v>
      </c>
      <c r="H198" s="52">
        <f t="shared" si="174"/>
        <v>-0.17026513459152323</v>
      </c>
      <c r="I198" s="52">
        <f t="shared" si="169"/>
        <v>1.18546758069965</v>
      </c>
      <c r="J198" s="53">
        <f t="shared" si="175"/>
        <v>0.45405884614340031</v>
      </c>
      <c r="K198" s="53">
        <f>800*101325/760/8.314/O198/1000000</f>
        <v>4.3049362334108593E-5</v>
      </c>
      <c r="L198" s="54">
        <f t="shared" si="176"/>
        <v>48206958106244.187</v>
      </c>
      <c r="M198" s="53">
        <f t="shared" si="170"/>
        <v>8433960812864739</v>
      </c>
      <c r="N198" s="52">
        <f t="shared" si="171"/>
        <v>33.557046979865774</v>
      </c>
      <c r="O198" s="55">
        <v>298</v>
      </c>
      <c r="P198" s="56"/>
      <c r="Q198" s="53">
        <f t="shared" si="172"/>
        <v>284038518197.16705</v>
      </c>
      <c r="R198" s="53">
        <f>5900000000000000*800/760*101325/1000000/8.314/298</f>
        <v>253991237771.24078</v>
      </c>
      <c r="S198" s="53">
        <f t="shared" si="173"/>
        <v>1.3994998986764946E-2</v>
      </c>
      <c r="T198" s="47"/>
      <c r="U198" s="46"/>
      <c r="V198" s="46">
        <v>150</v>
      </c>
      <c r="W198" s="47">
        <f>1.81E-32*6.02E+23*150/760*101325*6.02E+23/1000000/360/8.314</f>
        <v>43828167792.040688</v>
      </c>
      <c r="X198" s="20"/>
    </row>
    <row r="199" spans="4:24" ht="15.75">
      <c r="D199" s="68">
        <f t="shared" ref="D199:D240" si="178">10^E199</f>
        <v>0.79517931243680617</v>
      </c>
      <c r="E199" s="68">
        <f t="shared" ref="E199:E240" si="179">LOG(J199)/(1+(F199/(I199-0.14*F199))^2)</f>
        <v>-9.9534927166338411E-2</v>
      </c>
      <c r="F199" s="68">
        <f t="shared" ref="F199:F240" si="180">LOG(G199)+H199</f>
        <v>-2.3731062043519779</v>
      </c>
      <c r="G199" s="69">
        <f t="shared" ref="G199:G240" si="181">M199*K199/L199</f>
        <v>6.2684321623009808E-3</v>
      </c>
      <c r="H199" s="68">
        <f t="shared" ref="H199:H240" si="182">-0.4-0.67*LOG(J199)</f>
        <v>-0.17026513459152323</v>
      </c>
      <c r="I199" s="68">
        <f t="shared" ref="I199:I240" si="183">0.75-1.27*LOG(J199)</f>
        <v>1.18546758069965</v>
      </c>
      <c r="J199" s="69">
        <f t="shared" si="175"/>
        <v>0.45405884614340031</v>
      </c>
      <c r="K199" s="69">
        <f>7600*101325/760/8.314/O199/1000000</f>
        <v>1.4880677016832898E-4</v>
      </c>
      <c r="L199" s="70">
        <f t="shared" si="176"/>
        <v>68551282640557.742</v>
      </c>
      <c r="M199" s="69">
        <f t="shared" ref="M199:M240" si="184">$B$7*O199^$B$8*EXP(-$B$9/1.987/O199)</f>
        <v>2887698351257632.5</v>
      </c>
      <c r="N199" s="68">
        <f t="shared" ref="N199:N240" si="185">10000/O199</f>
        <v>12.210012210012209</v>
      </c>
      <c r="O199" s="71">
        <v>819</v>
      </c>
      <c r="P199" s="72"/>
      <c r="Q199" s="69">
        <f t="shared" ref="Q199:Q240" si="186">L199/(1+L199/M199/K199)*D199</f>
        <v>339567204764.42218</v>
      </c>
      <c r="R199" s="69">
        <f>2400000000000000*10*101325/8.314/820/1000000</f>
        <v>356700716393.74078</v>
      </c>
      <c r="S199" s="69">
        <f>(R199-Q199)^2/R199^2</f>
        <v>2.3071976688083216E-3</v>
      </c>
      <c r="T199" s="53"/>
      <c r="U199" s="46"/>
      <c r="V199" s="46">
        <v>500</v>
      </c>
      <c r="W199" s="47">
        <f>1.81E-32*6.02E+23*500/760*101325*6.02E+23/1000000/360/8.314</f>
        <v>146093892640.13559</v>
      </c>
      <c r="X199" s="20"/>
    </row>
    <row r="200" spans="4:24" ht="15.75">
      <c r="D200" s="68">
        <f t="shared" ref="D200:D202" si="187">10^E200</f>
        <v>0.78209272505453098</v>
      </c>
      <c r="E200" s="68">
        <f t="shared" ref="E200:E202" si="188">LOG(J200)/(1+(F200/(I200-0.14*F200))^2)</f>
        <v>-0.10674175385547856</v>
      </c>
      <c r="F200" s="68">
        <f t="shared" ref="F200:F202" si="189">LOG(G200)+H200</f>
        <v>-2.2269781686737402</v>
      </c>
      <c r="G200" s="69">
        <f t="shared" ref="G200:G202" si="190">M200*K200/L200</f>
        <v>8.7758050272213721E-3</v>
      </c>
      <c r="H200" s="68">
        <f t="shared" ref="H200:H202" si="191">-0.4-0.67*LOG(J200)</f>
        <v>-0.17026513459152323</v>
      </c>
      <c r="I200" s="68">
        <f t="shared" ref="I200:I202" si="192">0.75-1.27*LOG(J200)</f>
        <v>1.18546758069965</v>
      </c>
      <c r="J200" s="69">
        <f t="shared" ref="J200:J202" si="193">(1-$B$10)*EXP(-O200/$B$11)+$B$10*EXP(-O200/$B$12)+EXP(-B$13/O200)</f>
        <v>0.45405884614340031</v>
      </c>
      <c r="K200" s="69">
        <f>760*14*101325/760/8.314/O200/1000000</f>
        <v>2.0832947823566059E-4</v>
      </c>
      <c r="L200" s="70">
        <f t="shared" ref="L200:L202" si="194">B$4*O200^B$5*EXP(-B$6/1.987/O200)</f>
        <v>68551282640557.742</v>
      </c>
      <c r="M200" s="69">
        <f t="shared" ref="M200:M202" si="195">$B$7*O200^$B$8*EXP(-$B$9/1.987/O200)</f>
        <v>2887698351257632.5</v>
      </c>
      <c r="N200" s="68">
        <f t="shared" ref="N200:N202" si="196">10000/O200</f>
        <v>12.210012210012209</v>
      </c>
      <c r="O200" s="71">
        <v>819</v>
      </c>
      <c r="P200" s="72"/>
      <c r="Q200" s="69">
        <f t="shared" ref="Q200:Q202" si="197">L200/(1+L200/M200/K200)*D200</f>
        <v>466408159861.84235</v>
      </c>
      <c r="R200" s="69">
        <f>2350000000000000*14*101325/8.314/820/1000000</f>
        <v>488977232056.41968</v>
      </c>
      <c r="S200" s="69">
        <f>(R200-Q200)^2/R200^2</f>
        <v>2.1303459551319467E-3</v>
      </c>
      <c r="T200" s="69"/>
      <c r="U200" s="46">
        <v>260</v>
      </c>
      <c r="V200" s="46">
        <v>50</v>
      </c>
      <c r="W200" s="47">
        <f>2.4E-32*6.02E+23*50/760*101325*6.02E+23/1000000/260/8.314</f>
        <v>26822168134.525547</v>
      </c>
      <c r="X200" s="20"/>
    </row>
    <row r="201" spans="4:24" ht="15.75">
      <c r="D201" s="68">
        <f t="shared" si="187"/>
        <v>0.79564837732136406</v>
      </c>
      <c r="E201" s="68">
        <f t="shared" si="188"/>
        <v>-9.9278818603188337E-2</v>
      </c>
      <c r="F201" s="68">
        <f t="shared" si="189"/>
        <v>-2.3786256327957176</v>
      </c>
      <c r="G201" s="69">
        <f t="shared" si="190"/>
        <v>6.1892710414494867E-3</v>
      </c>
      <c r="H201" s="68">
        <f t="shared" si="191"/>
        <v>-0.17026513459152323</v>
      </c>
      <c r="I201" s="68">
        <f t="shared" si="192"/>
        <v>1.18546758069965</v>
      </c>
      <c r="J201" s="69">
        <f t="shared" si="193"/>
        <v>0.45405884614340031</v>
      </c>
      <c r="K201" s="69">
        <f>7600*101325/760/8.314/O201/1000000</f>
        <v>1.4808352948707343E-4</v>
      </c>
      <c r="L201" s="70">
        <f t="shared" si="194"/>
        <v>68703970165010.555</v>
      </c>
      <c r="M201" s="69">
        <f t="shared" si="195"/>
        <v>2871538073462981</v>
      </c>
      <c r="N201" s="68">
        <f t="shared" si="196"/>
        <v>12.150668286755771</v>
      </c>
      <c r="O201" s="71">
        <v>823</v>
      </c>
      <c r="P201" s="72"/>
      <c r="Q201" s="69">
        <f t="shared" si="197"/>
        <v>336250419792.02441</v>
      </c>
      <c r="R201" s="69">
        <f>2460000000000000*10*101325/8.314/820/1000000</f>
        <v>365618234303.58423</v>
      </c>
      <c r="S201" s="69">
        <f>(R201-Q201)^2/R201^2</f>
        <v>6.4518990422541573E-3</v>
      </c>
      <c r="T201" s="69"/>
      <c r="U201" s="46">
        <v>220</v>
      </c>
      <c r="V201" s="46">
        <v>30</v>
      </c>
      <c r="W201" s="47">
        <f>3.1E-32*6.02E+23*30/760*101325*6.02E+23/1000000/220/8.314</f>
        <v>24566667632.304081</v>
      </c>
      <c r="X201" s="20"/>
    </row>
    <row r="202" spans="4:24" ht="15.75">
      <c r="D202" s="68">
        <f t="shared" si="187"/>
        <v>0.78911544292037927</v>
      </c>
      <c r="E202" s="68">
        <f t="shared" si="188"/>
        <v>-0.10285945742961609</v>
      </c>
      <c r="F202" s="68">
        <f t="shared" si="189"/>
        <v>-2.303568212642225</v>
      </c>
      <c r="G202" s="69">
        <f t="shared" si="190"/>
        <v>7.3569350502934311E-3</v>
      </c>
      <c r="H202" s="68">
        <f t="shared" si="191"/>
        <v>-0.17026513459152323</v>
      </c>
      <c r="I202" s="68">
        <f t="shared" si="192"/>
        <v>1.18546758069965</v>
      </c>
      <c r="J202" s="69">
        <f t="shared" si="193"/>
        <v>0.45405884614340031</v>
      </c>
      <c r="K202" s="69">
        <f>760*12*101325/760/8.314/O202/1000000</f>
        <v>1.7705483501384228E-4</v>
      </c>
      <c r="L202" s="70">
        <f t="shared" si="194"/>
        <v>68818378527968.086</v>
      </c>
      <c r="M202" s="69">
        <f t="shared" si="195"/>
        <v>2859522819905974</v>
      </c>
      <c r="N202" s="68">
        <f t="shared" si="196"/>
        <v>12.106537530266344</v>
      </c>
      <c r="O202" s="71">
        <v>826</v>
      </c>
      <c r="P202" s="72"/>
      <c r="Q202" s="69">
        <f t="shared" si="197"/>
        <v>396605305518.47162</v>
      </c>
      <c r="R202" s="69">
        <f>2370000000000000*12*101325/8.314/820/1000000</f>
        <v>422690348926.58276</v>
      </c>
      <c r="S202" s="69">
        <f>(R202-Q202)^2/R202^2</f>
        <v>3.8083641098755872E-3</v>
      </c>
      <c r="T202" s="69"/>
      <c r="U202" s="46"/>
      <c r="V202" s="46">
        <v>50</v>
      </c>
      <c r="W202" s="47">
        <f>3.14E-32*6.02E+23*50/760*101325*6.02E+23/1000000/220/8.314</f>
        <v>41472761486.7929</v>
      </c>
      <c r="X202" s="20"/>
    </row>
    <row r="203" spans="4:24" ht="15.75">
      <c r="D203" s="37">
        <f t="shared" ref="D203:D209" si="198">10^E203</f>
        <v>0.7901901116207698</v>
      </c>
      <c r="E203" s="37">
        <f t="shared" ref="E203:E209" si="199">LOG(J203)/(1+(F203/(I203-0.14*F203))^2)</f>
        <v>-0.10226840934883333</v>
      </c>
      <c r="F203" s="37">
        <f t="shared" ref="F203:F209" si="200">LOG(G203)+H203</f>
        <v>-2.3156529556781247</v>
      </c>
      <c r="G203" s="20">
        <f t="shared" ref="G203:G209" si="201">M203*K203/L203</f>
        <v>7.1550418600831688E-3</v>
      </c>
      <c r="H203" s="37">
        <f t="shared" ref="H203:H209" si="202">-0.4-0.67*LOG(J203)</f>
        <v>-0.17026513459152323</v>
      </c>
      <c r="I203" s="37">
        <f t="shared" ref="I203:I209" si="203">0.75-1.27*LOG(J203)</f>
        <v>1.18546758069965</v>
      </c>
      <c r="J203" s="20">
        <f t="shared" ref="J203:J209" si="204">(1-$B$10)*EXP(-O203/$B$11)+$B$10*EXP(-O203/$B$12)+EXP(-B$13/O203)</f>
        <v>0.45405884614340031</v>
      </c>
      <c r="K203" s="20">
        <f>1*101325/8.314/O203/1000000</f>
        <v>4.0896894217403164E-5</v>
      </c>
      <c r="L203" s="38">
        <f t="shared" ref="L203:L209" si="205">B$4*O203^B$5*EXP(-B$6/1.987/O203)</f>
        <v>48206958106244.187</v>
      </c>
      <c r="M203" s="20">
        <f t="shared" ref="M203:M209" si="206">$B$7*O203^$B$8*EXP(-$B$9/1.987/O203)</f>
        <v>8433960812864739</v>
      </c>
      <c r="N203" s="37">
        <f t="shared" ref="N203:N209" si="207">10000/O203</f>
        <v>33.557046979865774</v>
      </c>
      <c r="O203" s="39">
        <v>298</v>
      </c>
      <c r="P203" s="40"/>
      <c r="Q203" s="20">
        <f t="shared" ref="Q203:Q209" si="208">L203/(1+L203/M203/K203)*D203</f>
        <v>270618303072.55524</v>
      </c>
      <c r="R203" s="102">
        <f>0.00000000000041*6.02E+23</f>
        <v>246820000000</v>
      </c>
      <c r="S203" s="20">
        <f t="shared" ref="S203:S209" si="209">(R203-Q203)^2/R203^2</f>
        <v>9.2967528591295246E-3</v>
      </c>
      <c r="T203" s="69"/>
      <c r="U203" s="46"/>
      <c r="V203" s="46">
        <v>200</v>
      </c>
      <c r="W203" s="47">
        <f>3.37E-32*6.02E+23*200/760*101325*6.02E+23/1000000/220/8.314</f>
        <v>178042300905.08545</v>
      </c>
      <c r="X203" s="20"/>
    </row>
    <row r="204" spans="4:24" ht="15.75">
      <c r="D204" s="37">
        <f t="shared" si="198"/>
        <v>0.7605577253459338</v>
      </c>
      <c r="E204" s="37">
        <f t="shared" si="199"/>
        <v>-0.11886781797153725</v>
      </c>
      <c r="F204" s="37">
        <f t="shared" si="200"/>
        <v>-2.0146229600141434</v>
      </c>
      <c r="G204" s="20">
        <f t="shared" si="201"/>
        <v>1.4310083720166338E-2</v>
      </c>
      <c r="H204" s="37">
        <f t="shared" si="202"/>
        <v>-0.17026513459152323</v>
      </c>
      <c r="I204" s="37">
        <f t="shared" si="203"/>
        <v>1.18546758069965</v>
      </c>
      <c r="J204" s="20">
        <f t="shared" si="204"/>
        <v>0.45405884614340031</v>
      </c>
      <c r="K204" s="20">
        <f>2*101325/8.314/O204/1000000</f>
        <v>8.1793788434806328E-5</v>
      </c>
      <c r="L204" s="38">
        <f t="shared" si="205"/>
        <v>48206958106244.187</v>
      </c>
      <c r="M204" s="20">
        <f t="shared" si="206"/>
        <v>8433960812864739</v>
      </c>
      <c r="N204" s="37">
        <f t="shared" si="207"/>
        <v>33.557046979865774</v>
      </c>
      <c r="O204" s="39">
        <v>298</v>
      </c>
      <c r="P204" s="40"/>
      <c r="Q204" s="20">
        <f t="shared" si="208"/>
        <v>517265295554.67175</v>
      </c>
      <c r="R204" s="20">
        <f>0.00000000000091*6.02E+23</f>
        <v>547820000000</v>
      </c>
      <c r="S204" s="20">
        <f t="shared" si="209"/>
        <v>3.1108595733861325E-3</v>
      </c>
      <c r="T204" s="63"/>
      <c r="U204" s="24"/>
      <c r="V204" s="24"/>
      <c r="W204" s="24" t="s">
        <v>23</v>
      </c>
      <c r="X204" s="20"/>
    </row>
    <row r="205" spans="4:24" ht="15.75">
      <c r="D205" s="37">
        <f t="shared" si="198"/>
        <v>0.71063575908162013</v>
      </c>
      <c r="E205" s="37">
        <f t="shared" si="199"/>
        <v>-0.14835294266559584</v>
      </c>
      <c r="F205" s="37">
        <f t="shared" si="200"/>
        <v>-1.6166829513421055</v>
      </c>
      <c r="G205" s="20">
        <f t="shared" si="201"/>
        <v>3.5775209300415854E-2</v>
      </c>
      <c r="H205" s="37">
        <f t="shared" si="202"/>
        <v>-0.17026513459152323</v>
      </c>
      <c r="I205" s="37">
        <f t="shared" si="203"/>
        <v>1.18546758069965</v>
      </c>
      <c r="J205" s="20">
        <f t="shared" si="204"/>
        <v>0.45405884614340031</v>
      </c>
      <c r="K205" s="20">
        <f>5*101325/8.314/O205/1000000</f>
        <v>2.0448447108701583E-4</v>
      </c>
      <c r="L205" s="38">
        <f t="shared" si="205"/>
        <v>48206958106244.187</v>
      </c>
      <c r="M205" s="20">
        <f t="shared" si="206"/>
        <v>8433960812864739</v>
      </c>
      <c r="N205" s="37">
        <f t="shared" si="207"/>
        <v>33.557046979865774</v>
      </c>
      <c r="O205" s="39">
        <v>298</v>
      </c>
      <c r="P205" s="40"/>
      <c r="Q205" s="20">
        <f t="shared" si="208"/>
        <v>1183241671908.4133</v>
      </c>
      <c r="R205" s="20">
        <f>0.0000000000023*6.02E+23</f>
        <v>1384600000000</v>
      </c>
      <c r="S205" s="20">
        <f t="shared" si="209"/>
        <v>2.1149034152841792E-2</v>
      </c>
      <c r="T205" s="63"/>
      <c r="U205" s="57">
        <v>298</v>
      </c>
      <c r="V205" s="57">
        <v>800</v>
      </c>
      <c r="W205" s="53">
        <f>5900000000000000*800/760*101325/1000000/8.314/298</f>
        <v>253991237771.24078</v>
      </c>
      <c r="X205" s="53"/>
    </row>
    <row r="206" spans="4:24" ht="15.75">
      <c r="D206" s="37">
        <f t="shared" si="198"/>
        <v>0.66322794996316248</v>
      </c>
      <c r="E206" s="37">
        <f t="shared" si="199"/>
        <v>-0.17833717989596937</v>
      </c>
      <c r="F206" s="37">
        <f t="shared" si="200"/>
        <v>-1.3156529556781245</v>
      </c>
      <c r="G206" s="20">
        <f t="shared" si="201"/>
        <v>7.1550418600831708E-2</v>
      </c>
      <c r="H206" s="37">
        <f t="shared" si="202"/>
        <v>-0.17026513459152323</v>
      </c>
      <c r="I206" s="37">
        <f t="shared" si="203"/>
        <v>1.18546758069965</v>
      </c>
      <c r="J206" s="20">
        <f t="shared" si="204"/>
        <v>0.45405884614340031</v>
      </c>
      <c r="K206" s="20">
        <f>10*101325/8.314/O206/1000000</f>
        <v>4.0896894217403167E-4</v>
      </c>
      <c r="L206" s="38">
        <f t="shared" si="205"/>
        <v>48206958106244.187</v>
      </c>
      <c r="M206" s="20">
        <f t="shared" si="206"/>
        <v>8433960812864739</v>
      </c>
      <c r="N206" s="37">
        <f t="shared" si="207"/>
        <v>33.557046979865774</v>
      </c>
      <c r="O206" s="39">
        <v>298</v>
      </c>
      <c r="P206" s="40"/>
      <c r="Q206" s="20">
        <f t="shared" si="208"/>
        <v>2134873354432.5305</v>
      </c>
      <c r="R206" s="20">
        <f>0.0000000000039*6.02E+23</f>
        <v>2347800000000</v>
      </c>
      <c r="S206" s="20">
        <f t="shared" si="209"/>
        <v>8.2250363892627659E-3</v>
      </c>
      <c r="T206" s="63"/>
      <c r="U206" s="24"/>
      <c r="V206" s="24"/>
      <c r="W206" s="24" t="s">
        <v>24</v>
      </c>
      <c r="X206" s="20"/>
    </row>
    <row r="207" spans="4:24" ht="15.75">
      <c r="D207" s="37">
        <f t="shared" si="198"/>
        <v>0.58821542947393135</v>
      </c>
      <c r="E207" s="37">
        <f t="shared" si="199"/>
        <v>-0.23046358770467171</v>
      </c>
      <c r="F207" s="37">
        <f t="shared" si="200"/>
        <v>-0.91771294700608697</v>
      </c>
      <c r="G207" s="20">
        <f t="shared" si="201"/>
        <v>0.17887604650207925</v>
      </c>
      <c r="H207" s="37">
        <f t="shared" si="202"/>
        <v>-0.17026513459152323</v>
      </c>
      <c r="I207" s="37">
        <f t="shared" si="203"/>
        <v>1.18546758069965</v>
      </c>
      <c r="J207" s="20">
        <f t="shared" si="204"/>
        <v>0.45405884614340031</v>
      </c>
      <c r="K207" s="20">
        <f>25*101325/8.314/O207/1000000</f>
        <v>1.0224223554350792E-3</v>
      </c>
      <c r="L207" s="38">
        <f t="shared" si="205"/>
        <v>48206958106244.187</v>
      </c>
      <c r="M207" s="20">
        <f t="shared" si="206"/>
        <v>8433960812864739</v>
      </c>
      <c r="N207" s="37">
        <f t="shared" si="207"/>
        <v>33.557046979865774</v>
      </c>
      <c r="O207" s="39">
        <v>298</v>
      </c>
      <c r="P207" s="40"/>
      <c r="Q207" s="20">
        <f t="shared" si="208"/>
        <v>4302592189826.6377</v>
      </c>
      <c r="R207" s="20">
        <f>0.0000000000064*6.02E+23</f>
        <v>3852800000000</v>
      </c>
      <c r="S207" s="20">
        <f t="shared" si="209"/>
        <v>1.3629216479587451E-2</v>
      </c>
      <c r="T207" s="63"/>
      <c r="U207" s="24">
        <v>298</v>
      </c>
      <c r="V207" s="24" t="s">
        <v>25</v>
      </c>
      <c r="W207" s="25">
        <f>0.00000000000051*6.02E+23</f>
        <v>307020000000</v>
      </c>
      <c r="X207" s="20"/>
    </row>
    <row r="208" spans="4:24" ht="15.75">
      <c r="D208" s="37">
        <f t="shared" si="198"/>
        <v>0.52769662086187707</v>
      </c>
      <c r="E208" s="37">
        <f t="shared" si="199"/>
        <v>-0.27761568684569055</v>
      </c>
      <c r="F208" s="37">
        <f t="shared" si="200"/>
        <v>-0.61668295134210571</v>
      </c>
      <c r="G208" s="20">
        <f t="shared" si="201"/>
        <v>0.3577520930041585</v>
      </c>
      <c r="H208" s="37">
        <f t="shared" si="202"/>
        <v>-0.17026513459152323</v>
      </c>
      <c r="I208" s="37">
        <f t="shared" si="203"/>
        <v>1.18546758069965</v>
      </c>
      <c r="J208" s="20">
        <f t="shared" si="204"/>
        <v>0.45405884614340031</v>
      </c>
      <c r="K208" s="20">
        <f>50*101325/8.314/O208/1000000</f>
        <v>2.0448447108701584E-3</v>
      </c>
      <c r="L208" s="38">
        <f t="shared" si="205"/>
        <v>48206958106244.187</v>
      </c>
      <c r="M208" s="20">
        <f t="shared" si="206"/>
        <v>8433960812864739</v>
      </c>
      <c r="N208" s="37">
        <f t="shared" si="207"/>
        <v>33.557046979865774</v>
      </c>
      <c r="O208" s="39">
        <v>298</v>
      </c>
      <c r="P208" s="40"/>
      <c r="Q208" s="20">
        <f t="shared" si="208"/>
        <v>6702792013480.7949</v>
      </c>
      <c r="R208" s="20">
        <f>0.000000000012*6.02E+23</f>
        <v>7224000000000</v>
      </c>
      <c r="S208" s="20">
        <f t="shared" si="209"/>
        <v>5.2055503206712029E-3</v>
      </c>
      <c r="T208" s="63"/>
      <c r="U208" s="24"/>
      <c r="V208" s="24">
        <v>2</v>
      </c>
      <c r="W208" s="20">
        <f>0.00000000000091*6.02E+23</f>
        <v>547820000000</v>
      </c>
      <c r="X208" s="20"/>
    </row>
    <row r="209" spans="4:24" ht="15.75">
      <c r="D209" s="37">
        <f t="shared" si="198"/>
        <v>0.47677097940624785</v>
      </c>
      <c r="E209" s="37">
        <f t="shared" si="199"/>
        <v>-0.32169018755326739</v>
      </c>
      <c r="F209" s="37">
        <f t="shared" si="200"/>
        <v>-0.31565295567812451</v>
      </c>
      <c r="G209" s="20">
        <f t="shared" si="201"/>
        <v>0.715504186008317</v>
      </c>
      <c r="H209" s="37">
        <f t="shared" si="202"/>
        <v>-0.17026513459152323</v>
      </c>
      <c r="I209" s="37">
        <f t="shared" si="203"/>
        <v>1.18546758069965</v>
      </c>
      <c r="J209" s="20">
        <f t="shared" si="204"/>
        <v>0.45405884614340031</v>
      </c>
      <c r="K209" s="20">
        <f>100*101325/8.314/O209/1000000</f>
        <v>4.0896894217403168E-3</v>
      </c>
      <c r="L209" s="38">
        <f t="shared" si="205"/>
        <v>48206958106244.187</v>
      </c>
      <c r="M209" s="20">
        <f t="shared" si="206"/>
        <v>8433960812864739</v>
      </c>
      <c r="N209" s="37">
        <f t="shared" si="207"/>
        <v>33.557046979865774</v>
      </c>
      <c r="O209" s="39">
        <v>298</v>
      </c>
      <c r="P209" s="40"/>
      <c r="Q209" s="20">
        <f t="shared" si="208"/>
        <v>9586055460619.0156</v>
      </c>
      <c r="R209" s="20">
        <f>0.000000000017*6.02E+23</f>
        <v>10234000000000</v>
      </c>
      <c r="S209" s="20">
        <f t="shared" si="209"/>
        <v>4.0085272754503383E-3</v>
      </c>
      <c r="T209" s="63"/>
      <c r="U209" s="24"/>
      <c r="V209" s="24">
        <v>5</v>
      </c>
      <c r="W209" s="20">
        <f>0.0000000000023*6.02E+23</f>
        <v>1384600000000</v>
      </c>
      <c r="X209" s="20"/>
    </row>
    <row r="210" spans="4:24" ht="15.75">
      <c r="D210" s="37">
        <f t="shared" ref="D210" si="210">10^E210</f>
        <v>0.45586849819584413</v>
      </c>
      <c r="E210" s="37">
        <f t="shared" ref="E210" si="211">LOG(J210)/(1+(F210/(I210-0.14*F210))^2)</f>
        <v>-0.34116041773970024</v>
      </c>
      <c r="F210" s="37">
        <f t="shared" ref="F210" si="212">LOG(G210)+H210</f>
        <v>-8.5204034299850517E-2</v>
      </c>
      <c r="G210" s="20">
        <f t="shared" ref="G210" si="213">M210*K210/L210</f>
        <v>1.2163571162141391</v>
      </c>
      <c r="H210" s="37">
        <f t="shared" ref="H210" si="214">-0.4-0.67*LOG(J210)</f>
        <v>-0.17026513459152323</v>
      </c>
      <c r="I210" s="37">
        <f t="shared" ref="I210" si="215">0.75-1.27*LOG(J210)</f>
        <v>1.18546758069965</v>
      </c>
      <c r="J210" s="20">
        <f t="shared" ref="J210" si="216">(1-$B$10)*EXP(-O210/$B$11)+$B$10*EXP(-O210/$B$12)+EXP(-B$13/O210)</f>
        <v>0.45405884614340031</v>
      </c>
      <c r="K210" s="20">
        <f>170*101325/8.314/O210/1000000</f>
        <v>6.9524720169585391E-3</v>
      </c>
      <c r="L210" s="38">
        <f t="shared" ref="L210" si="217">B$4*O210^B$5*EXP(-B$6/1.987/O210)</f>
        <v>48206958106244.187</v>
      </c>
      <c r="M210" s="20">
        <f t="shared" ref="M210" si="218">$B$7*O210^$B$8*EXP(-$B$9/1.987/O210)</f>
        <v>8433960812864739</v>
      </c>
      <c r="N210" s="37">
        <f t="shared" ref="N210" si="219">10000/O210</f>
        <v>33.557046979865774</v>
      </c>
      <c r="O210" s="39">
        <v>298</v>
      </c>
      <c r="P210" s="40"/>
      <c r="Q210" s="20">
        <f t="shared" ref="Q210" si="220">L210/(1+L210/M210/K210)*D210</f>
        <v>12060648824712.393</v>
      </c>
      <c r="R210" s="20">
        <f>0.000000000023*6.02E+23</f>
        <v>13846000000000</v>
      </c>
      <c r="S210" s="20">
        <f t="shared" ref="S210:S231" si="221">(R210-Q210)^2/R210^2</f>
        <v>1.6626416400658796E-2</v>
      </c>
      <c r="T210" s="63"/>
      <c r="U210" s="24"/>
      <c r="V210" s="24">
        <v>10</v>
      </c>
      <c r="W210" s="20">
        <f>0.0000000000039*6.02E+23</f>
        <v>2347800000000</v>
      </c>
      <c r="X210" s="20"/>
    </row>
    <row r="211" spans="4:24" ht="15.75">
      <c r="D211" s="64">
        <f t="shared" si="178"/>
        <v>0.86227806252940586</v>
      </c>
      <c r="E211" s="64">
        <f t="shared" si="179"/>
        <v>-6.4352662772865318E-2</v>
      </c>
      <c r="F211" s="64">
        <f t="shared" si="180"/>
        <v>-3.4798550050324848</v>
      </c>
      <c r="G211" s="63">
        <f t="shared" si="181"/>
        <v>4.9024156448121479E-4</v>
      </c>
      <c r="H211" s="64">
        <f t="shared" si="182"/>
        <v>-0.17026513459152323</v>
      </c>
      <c r="I211" s="64">
        <f t="shared" si="183"/>
        <v>1.18546758069965</v>
      </c>
      <c r="J211" s="63">
        <f t="shared" si="175"/>
        <v>0.45405884614340031</v>
      </c>
      <c r="K211" s="63">
        <v>1.3559410826672713E-5</v>
      </c>
      <c r="L211" s="65">
        <f t="shared" si="176"/>
        <v>71611384152110.969</v>
      </c>
      <c r="M211" s="63">
        <f t="shared" si="184"/>
        <v>2589115224117070.5</v>
      </c>
      <c r="N211" s="64">
        <f t="shared" si="185"/>
        <v>11.111111111111111</v>
      </c>
      <c r="O211" s="66">
        <v>900</v>
      </c>
      <c r="P211" s="67"/>
      <c r="Q211" s="63">
        <f t="shared" si="186"/>
        <v>30257056615.450279</v>
      </c>
      <c r="R211" s="63">
        <v>38069139842.088654</v>
      </c>
      <c r="S211" s="20">
        <f t="shared" si="221"/>
        <v>4.2110228154956145E-2</v>
      </c>
      <c r="U211" s="24"/>
      <c r="V211" s="24">
        <v>25</v>
      </c>
      <c r="W211" s="20">
        <f>0.0000000000064*6.02E+23</f>
        <v>3852800000000</v>
      </c>
      <c r="X211" s="20"/>
    </row>
    <row r="212" spans="4:24" ht="15.75">
      <c r="D212" s="64">
        <f t="shared" si="178"/>
        <v>0.8594426024652857</v>
      </c>
      <c r="E212" s="64">
        <f t="shared" si="179"/>
        <v>-6.5783122193877122E-2</v>
      </c>
      <c r="F212" s="64">
        <f t="shared" si="180"/>
        <v>-3.4140564207556197</v>
      </c>
      <c r="G212" s="63">
        <f t="shared" si="181"/>
        <v>5.7043834845895672E-4</v>
      </c>
      <c r="H212" s="64">
        <f t="shared" si="182"/>
        <v>-0.17026513459152323</v>
      </c>
      <c r="I212" s="64">
        <f t="shared" si="183"/>
        <v>1.18546758069965</v>
      </c>
      <c r="J212" s="63">
        <f t="shared" ref="J212:J240" si="222">(1-$B$10)*EXP(-O212/$B$11)+$B$10*EXP(-O212/$B$12)+EXP(-B$13/O212)</f>
        <v>0.45405884614340031</v>
      </c>
      <c r="K212" s="63">
        <v>1.4350565075731448E-5</v>
      </c>
      <c r="L212" s="65">
        <f t="shared" ref="L212:L240" si="223">B$4*O212^B$5*EXP(-B$6/1.987/O212)</f>
        <v>69692453847640.109</v>
      </c>
      <c r="M212" s="63">
        <f t="shared" si="184"/>
        <v>2770291487694157</v>
      </c>
      <c r="N212" s="64">
        <f t="shared" si="185"/>
        <v>11.778563015312132</v>
      </c>
      <c r="O212" s="66">
        <v>849</v>
      </c>
      <c r="P212" s="67"/>
      <c r="Q212" s="63">
        <f t="shared" si="186"/>
        <v>34147874780.021732</v>
      </c>
      <c r="R212" s="63">
        <v>39937584491.951538</v>
      </c>
      <c r="S212" s="20">
        <f t="shared" si="221"/>
        <v>2.1015996628139366E-2</v>
      </c>
      <c r="T212" s="6"/>
      <c r="U212" s="24"/>
      <c r="V212" s="24">
        <v>50</v>
      </c>
      <c r="W212" s="20">
        <f>0.000000000012*6.02E+23</f>
        <v>7224000000000</v>
      </c>
      <c r="X212" s="20"/>
    </row>
    <row r="213" spans="4:24" ht="15.75">
      <c r="D213" s="64">
        <f t="shared" si="178"/>
        <v>0.8579751979590341</v>
      </c>
      <c r="E213" s="64">
        <f t="shared" si="179"/>
        <v>-6.6525266399800012E-2</v>
      </c>
      <c r="F213" s="64">
        <f t="shared" si="180"/>
        <v>-3.3809690455619896</v>
      </c>
      <c r="G213" s="63">
        <f t="shared" si="181"/>
        <v>6.1559642496341249E-4</v>
      </c>
      <c r="H213" s="64">
        <f t="shared" si="182"/>
        <v>-0.17026513459152323</v>
      </c>
      <c r="I213" s="64">
        <f t="shared" si="183"/>
        <v>1.18546758069965</v>
      </c>
      <c r="J213" s="63">
        <f t="shared" si="222"/>
        <v>0.45405884614340031</v>
      </c>
      <c r="K213" s="63">
        <v>1.4786314570359536E-5</v>
      </c>
      <c r="L213" s="65">
        <f t="shared" si="223"/>
        <v>68780252625280.203</v>
      </c>
      <c r="M213" s="63">
        <f t="shared" si="184"/>
        <v>2863517979597083.5</v>
      </c>
      <c r="N213" s="64">
        <f t="shared" si="185"/>
        <v>12.121212121212121</v>
      </c>
      <c r="O213" s="66">
        <v>825</v>
      </c>
      <c r="P213" s="67"/>
      <c r="Q213" s="63">
        <f t="shared" si="186"/>
        <v>36305073587.875954</v>
      </c>
      <c r="R213" s="63">
        <v>40887996651.027336</v>
      </c>
      <c r="S213" s="20">
        <f t="shared" si="221"/>
        <v>1.2563003137323486E-2</v>
      </c>
      <c r="T213" s="6"/>
      <c r="U213" s="24"/>
      <c r="V213" s="24">
        <v>100</v>
      </c>
      <c r="W213" s="20">
        <f>0.000000000017*6.02E+23</f>
        <v>10234000000000</v>
      </c>
      <c r="X213" s="20"/>
    </row>
    <row r="214" spans="4:24" ht="15.75">
      <c r="D214" s="64">
        <f t="shared" si="178"/>
        <v>0.85641141632349549</v>
      </c>
      <c r="E214" s="64">
        <f t="shared" si="179"/>
        <v>-6.731755201135553E-2</v>
      </c>
      <c r="F214" s="64">
        <f t="shared" si="180"/>
        <v>-3.3464015420032491</v>
      </c>
      <c r="G214" s="63">
        <f t="shared" si="181"/>
        <v>6.6659736498122461E-4</v>
      </c>
      <c r="H214" s="64">
        <f t="shared" si="182"/>
        <v>-0.17026513459152323</v>
      </c>
      <c r="I214" s="64">
        <f t="shared" si="183"/>
        <v>1.18546758069965</v>
      </c>
      <c r="J214" s="63">
        <f t="shared" si="222"/>
        <v>0.45405884614340031</v>
      </c>
      <c r="K214" s="63">
        <v>1.5239478886471047E-5</v>
      </c>
      <c r="L214" s="65">
        <f t="shared" si="223"/>
        <v>67823786331033.422</v>
      </c>
      <c r="M214" s="63">
        <f t="shared" si="184"/>
        <v>2966712811384449</v>
      </c>
      <c r="N214" s="64">
        <f t="shared" si="185"/>
        <v>12.5</v>
      </c>
      <c r="O214" s="66">
        <v>800</v>
      </c>
      <c r="P214" s="67"/>
      <c r="Q214" s="63">
        <f t="shared" si="186"/>
        <v>38693558191.292145</v>
      </c>
      <c r="R214" s="63">
        <v>43933423765.371872</v>
      </c>
      <c r="S214" s="20">
        <f t="shared" si="221"/>
        <v>1.4224931774122471E-2</v>
      </c>
      <c r="U214" s="24"/>
      <c r="V214" s="24">
        <v>170</v>
      </c>
      <c r="W214" s="20">
        <f>0.000000000023*6.02E+23</f>
        <v>13846000000000</v>
      </c>
      <c r="X214" s="24"/>
    </row>
    <row r="215" spans="4:24" ht="15.75">
      <c r="D215" s="64">
        <f t="shared" ref="D215:D227" si="224">10^E215</f>
        <v>0.85476298019564156</v>
      </c>
      <c r="E215" s="64">
        <f t="shared" ref="E215:E227" si="225">LOG(J215)/(1+(F215/(I215-0.14*F215))^2)</f>
        <v>-6.815429540467785E-2</v>
      </c>
      <c r="F215" s="64">
        <f t="shared" ref="F215:F227" si="226">LOG(G215)+H215</f>
        <v>-3.3107106589051325</v>
      </c>
      <c r="G215" s="63">
        <f t="shared" ref="G215:G227" si="227">M215*K215/L215</f>
        <v>7.2369317297047873E-4</v>
      </c>
      <c r="H215" s="64">
        <f t="shared" ref="H215:H227" si="228">-0.4-0.67*LOG(J215)</f>
        <v>-0.17026513459152323</v>
      </c>
      <c r="I215" s="64">
        <f t="shared" ref="I215:I227" si="229">0.75-1.27*LOG(J215)</f>
        <v>1.18546758069965</v>
      </c>
      <c r="J215" s="63">
        <f t="shared" ref="J215:J217" si="230">(1-$B$10)*EXP(-O215/$B$11)+$B$10*EXP(-O215/$B$12)+EXP(-B$13/O215)</f>
        <v>0.45405884614340031</v>
      </c>
      <c r="K215" s="63">
        <v>1.5726898667459284E-5</v>
      </c>
      <c r="L215" s="65">
        <f t="shared" ref="L215:L217" si="231">B$4*O215^B$5*EXP(-B$6/1.987/O215)</f>
        <v>66860956989986.383</v>
      </c>
      <c r="M215" s="63">
        <f t="shared" ref="M215:M227" si="232">$B$7*O215^$B$8*EXP(-$B$9/1.987/O215)</f>
        <v>3076691669161937.5</v>
      </c>
      <c r="N215" s="64">
        <f t="shared" ref="N215:N227" si="233">10000/O215</f>
        <v>12.903225806451612</v>
      </c>
      <c r="O215" s="66">
        <v>775</v>
      </c>
      <c r="P215" s="67"/>
      <c r="Q215" s="63">
        <f t="shared" ref="Q215:Q227" si="234">L215/(1+L215/M215/K215)*D215</f>
        <v>41329351082.312706</v>
      </c>
      <c r="R215" s="63">
        <v>48570234629.263168</v>
      </c>
      <c r="S215" s="20">
        <f t="shared" si="221"/>
        <v>2.2225048784990178E-2</v>
      </c>
      <c r="U215" s="24"/>
      <c r="V215" s="24"/>
      <c r="W215" s="24" t="s">
        <v>26</v>
      </c>
      <c r="X215" s="24"/>
    </row>
    <row r="216" spans="4:24" ht="15.75">
      <c r="D216" s="64">
        <f t="shared" si="224"/>
        <v>0.85301299502709638</v>
      </c>
      <c r="E216" s="64">
        <f t="shared" si="225"/>
        <v>-6.904435262430425E-2</v>
      </c>
      <c r="F216" s="64">
        <f t="shared" si="226"/>
        <v>-3.273631334707237</v>
      </c>
      <c r="G216" s="63">
        <f t="shared" si="227"/>
        <v>7.8819522566270022E-4</v>
      </c>
      <c r="H216" s="64">
        <f t="shared" si="228"/>
        <v>-0.17026513459152323</v>
      </c>
      <c r="I216" s="64">
        <f t="shared" si="229"/>
        <v>1.18546758069965</v>
      </c>
      <c r="J216" s="63">
        <f t="shared" si="230"/>
        <v>0.45405884614340031</v>
      </c>
      <c r="K216" s="63">
        <v>1.6259804836773495E-5</v>
      </c>
      <c r="L216" s="65">
        <f t="shared" si="231"/>
        <v>65891818448659.562</v>
      </c>
      <c r="M216" s="63">
        <f t="shared" si="232"/>
        <v>3194110706298779.5</v>
      </c>
      <c r="N216" s="64">
        <f t="shared" si="233"/>
        <v>13.333333333333334</v>
      </c>
      <c r="O216" s="66">
        <v>750</v>
      </c>
      <c r="P216" s="67"/>
      <c r="Q216" s="63">
        <f t="shared" si="234"/>
        <v>44266865027.957603</v>
      </c>
      <c r="R216" s="63">
        <v>48941510953.821854</v>
      </c>
      <c r="S216" s="20">
        <f t="shared" si="221"/>
        <v>9.1231054946780514E-3</v>
      </c>
      <c r="T216" s="58"/>
      <c r="U216" s="24">
        <v>298</v>
      </c>
      <c r="V216" s="24" t="s">
        <v>27</v>
      </c>
      <c r="W216" s="20">
        <v>6800000000000000</v>
      </c>
      <c r="X216" s="24"/>
    </row>
    <row r="217" spans="4:24" ht="15.75">
      <c r="D217" s="64">
        <f t="shared" si="224"/>
        <v>0.85119383768125068</v>
      </c>
      <c r="E217" s="64">
        <f t="shared" si="225"/>
        <v>-6.9971529164060062E-2</v>
      </c>
      <c r="F217" s="64">
        <f t="shared" si="226"/>
        <v>-3.2359384197577654</v>
      </c>
      <c r="G217" s="63">
        <f t="shared" si="227"/>
        <v>8.5965999081110539E-4</v>
      </c>
      <c r="H217" s="64">
        <f t="shared" si="228"/>
        <v>-0.17026513459152323</v>
      </c>
      <c r="I217" s="64">
        <f t="shared" si="229"/>
        <v>1.18546758069965</v>
      </c>
      <c r="J217" s="63">
        <f t="shared" si="230"/>
        <v>0.45405884614340031</v>
      </c>
      <c r="K217" s="63">
        <v>1.6810527752234536E-5</v>
      </c>
      <c r="L217" s="65">
        <f t="shared" si="231"/>
        <v>64916465287181.75</v>
      </c>
      <c r="M217" s="63">
        <f t="shared" si="232"/>
        <v>3319710646493540</v>
      </c>
      <c r="N217" s="64">
        <f t="shared" si="233"/>
        <v>13.793103448275861</v>
      </c>
      <c r="O217" s="66">
        <v>725</v>
      </c>
      <c r="P217" s="67"/>
      <c r="Q217" s="63">
        <f t="shared" si="234"/>
        <v>47460997849.093658</v>
      </c>
      <c r="R217" s="63">
        <v>53954235564.321968</v>
      </c>
      <c r="S217" s="20">
        <f t="shared" si="221"/>
        <v>1.4483433098759629E-2</v>
      </c>
      <c r="T217" s="58"/>
      <c r="U217" s="73"/>
      <c r="V217" s="73"/>
      <c r="W217" s="73" t="s">
        <v>42</v>
      </c>
      <c r="X217" s="69"/>
    </row>
    <row r="218" spans="4:24" ht="15.75">
      <c r="D218" s="3">
        <f t="shared" ref="D218:D222" si="235">10^E218</f>
        <v>0.85480718863691085</v>
      </c>
      <c r="E218" s="3">
        <f t="shared" ref="E218:E222" si="236">LOG(J218)/(1+(F218/(I218-0.14*F218))^2)</f>
        <v>-6.8131834224141152E-2</v>
      </c>
      <c r="F218" s="3">
        <f t="shared" ref="F218:F222" si="237">LOG(G218)+H218</f>
        <v>-3.3116580442969523</v>
      </c>
      <c r="G218" s="4">
        <f t="shared" ref="G218:G222" si="238">M218*K218/L218</f>
        <v>7.2211620365970539E-4</v>
      </c>
      <c r="H218" s="3">
        <f t="shared" ref="H218:H222" si="239">-0.4-0.67*LOG(J218)</f>
        <v>-0.17026513459152323</v>
      </c>
      <c r="I218" s="3">
        <f t="shared" ref="I218:I222" si="240">0.75-1.27*LOG(J218)</f>
        <v>1.18546758069965</v>
      </c>
      <c r="J218" s="4">
        <f t="shared" ref="J218:J231" si="241">(1-$B$10)*EXP(-O218/$B$11)+$B$10*EXP(-O218/$B$12)+EXP(-B$13/O218)</f>
        <v>0.45405884614340031</v>
      </c>
      <c r="K218" s="4">
        <f>3*101325/8.314/O218/1000000</f>
        <v>3.1116445472645471E-5</v>
      </c>
      <c r="L218" s="9">
        <f t="shared" ref="L218:L231" si="242">B$4*O218^B$5*EXP(-B$6/1.987/O218)</f>
        <v>81521173435622.5</v>
      </c>
      <c r="M218" s="4">
        <f t="shared" ref="M218:M222" si="243">$B$7*O218^$B$8*EXP(-$B$9/1.987/O218)</f>
        <v>1891853628685413.5</v>
      </c>
      <c r="N218" s="3">
        <f t="shared" ref="N218:N222" si="244">10000/O218</f>
        <v>8.5106382978723403</v>
      </c>
      <c r="O218" s="24">
        <v>1175</v>
      </c>
      <c r="P218" s="13"/>
      <c r="Q218" s="4">
        <f t="shared" ref="Q218:Q222" si="245">L218/(1+L218/M218/K218)*D218</f>
        <v>50284273576.889229</v>
      </c>
      <c r="R218" s="4">
        <v>55267609925.444824</v>
      </c>
      <c r="S218" s="20">
        <f t="shared" si="221"/>
        <v>8.1301589047600552E-3</v>
      </c>
      <c r="T218" s="58"/>
      <c r="U218" s="71">
        <v>819</v>
      </c>
      <c r="V218" s="73">
        <v>10</v>
      </c>
      <c r="W218" s="73">
        <f>2400000000000000*10*101325/8.314/820/1000000</f>
        <v>356700716393.74078</v>
      </c>
      <c r="X218" s="69"/>
    </row>
    <row r="219" spans="4:24" ht="15.75">
      <c r="D219" s="3">
        <f t="shared" si="235"/>
        <v>0.85704968668716397</v>
      </c>
      <c r="E219" s="3">
        <f t="shared" si="236"/>
        <v>-6.6993999513737995E-2</v>
      </c>
      <c r="F219" s="3">
        <f t="shared" si="237"/>
        <v>-3.3604257115883716</v>
      </c>
      <c r="G219" s="4">
        <f t="shared" si="238"/>
        <v>6.4541554754810407E-4</v>
      </c>
      <c r="H219" s="3">
        <f t="shared" si="239"/>
        <v>-0.17026513459152323</v>
      </c>
      <c r="I219" s="3">
        <f t="shared" si="240"/>
        <v>1.18546758069965</v>
      </c>
      <c r="J219" s="4">
        <f t="shared" si="241"/>
        <v>0.45405884614340031</v>
      </c>
      <c r="K219" s="4">
        <f t="shared" ref="K219:K231" si="246">3*101325/8.314/O219/1000000</f>
        <v>2.9846386473761985E-5</v>
      </c>
      <c r="L219" s="9">
        <f t="shared" si="242"/>
        <v>83249041959682.906</v>
      </c>
      <c r="M219" s="4">
        <f t="shared" si="243"/>
        <v>1800225499542404.5</v>
      </c>
      <c r="N219" s="3">
        <f t="shared" si="244"/>
        <v>8.1632653061224492</v>
      </c>
      <c r="O219" s="24">
        <v>1225</v>
      </c>
      <c r="P219" s="13"/>
      <c r="Q219" s="4">
        <f t="shared" si="245"/>
        <v>46019771482.290298</v>
      </c>
      <c r="R219" s="4">
        <v>50784513086.48777</v>
      </c>
      <c r="S219" s="20">
        <f t="shared" si="221"/>
        <v>8.8027044603321124E-3</v>
      </c>
      <c r="T219" s="58"/>
      <c r="U219" s="71">
        <v>820</v>
      </c>
      <c r="V219" s="73">
        <v>14</v>
      </c>
      <c r="W219" s="73">
        <f>2350000000000000*14*101325/8.314/820/1000000</f>
        <v>488977232056.41968</v>
      </c>
      <c r="X219" s="20"/>
    </row>
    <row r="220" spans="4:24" ht="15.75">
      <c r="D220" s="3">
        <f t="shared" si="235"/>
        <v>0.85914843410557129</v>
      </c>
      <c r="E220" s="3">
        <f t="shared" si="236"/>
        <v>-6.5931797118747137E-2</v>
      </c>
      <c r="F220" s="3">
        <f t="shared" si="237"/>
        <v>-3.4073719531465447</v>
      </c>
      <c r="G220" s="4">
        <f t="shared" si="238"/>
        <v>5.79286198357856E-4</v>
      </c>
      <c r="H220" s="3">
        <f t="shared" si="239"/>
        <v>-0.17026513459152323</v>
      </c>
      <c r="I220" s="3">
        <f t="shared" si="240"/>
        <v>1.18546758069965</v>
      </c>
      <c r="J220" s="4">
        <f t="shared" si="241"/>
        <v>0.45405884614340031</v>
      </c>
      <c r="K220" s="4">
        <f t="shared" si="246"/>
        <v>2.8675939945379162E-5</v>
      </c>
      <c r="L220" s="9">
        <f t="shared" si="242"/>
        <v>84955976930931.531</v>
      </c>
      <c r="M220" s="4">
        <f t="shared" si="243"/>
        <v>1716206164395575.5</v>
      </c>
      <c r="N220" s="3">
        <f t="shared" si="244"/>
        <v>7.8431372549019605</v>
      </c>
      <c r="O220" s="24">
        <v>1275</v>
      </c>
      <c r="P220" s="13"/>
      <c r="Q220" s="4">
        <f t="shared" si="245"/>
        <v>42257501415.353745</v>
      </c>
      <c r="R220" s="4">
        <v>46823284831.984505</v>
      </c>
      <c r="S220" s="20">
        <f t="shared" si="221"/>
        <v>9.5083871631425204E-3</v>
      </c>
      <c r="T220" s="58"/>
      <c r="U220" s="71">
        <v>823</v>
      </c>
      <c r="V220" s="73">
        <v>10</v>
      </c>
      <c r="W220" s="73">
        <f>2460000000000000*10*101325/8.314/820/1000000</f>
        <v>365618234303.58423</v>
      </c>
      <c r="X220" s="63"/>
    </row>
    <row r="221" spans="4:24" ht="15.75">
      <c r="D221" s="3">
        <f t="shared" si="235"/>
        <v>0.86111784160971383</v>
      </c>
      <c r="E221" s="3">
        <f t="shared" si="236"/>
        <v>-6.4937412473295347E-2</v>
      </c>
      <c r="F221" s="3">
        <f t="shared" si="237"/>
        <v>-3.4526273251527035</v>
      </c>
      <c r="G221" s="4">
        <f t="shared" si="238"/>
        <v>5.2196070546948927E-4</v>
      </c>
      <c r="H221" s="3">
        <f t="shared" si="239"/>
        <v>-0.17026513459152323</v>
      </c>
      <c r="I221" s="3">
        <f t="shared" si="240"/>
        <v>1.18546758069965</v>
      </c>
      <c r="J221" s="4">
        <f t="shared" si="241"/>
        <v>0.45405884614340031</v>
      </c>
      <c r="K221" s="4">
        <f t="shared" si="246"/>
        <v>2.7593829004044101E-5</v>
      </c>
      <c r="L221" s="9">
        <f t="shared" si="242"/>
        <v>86642691252928.75</v>
      </c>
      <c r="M221" s="4">
        <f t="shared" si="243"/>
        <v>1638920073162948.2</v>
      </c>
      <c r="N221" s="3">
        <f t="shared" si="244"/>
        <v>7.5471698113207548</v>
      </c>
      <c r="O221" s="24">
        <v>1325</v>
      </c>
      <c r="P221" s="13"/>
      <c r="Q221" s="4">
        <f t="shared" si="245"/>
        <v>38922946125.378403</v>
      </c>
      <c r="R221" s="4">
        <v>43306124492.73761</v>
      </c>
      <c r="S221" s="20">
        <f t="shared" si="221"/>
        <v>1.0244237723841964E-2</v>
      </c>
      <c r="T221" s="58"/>
      <c r="U221" s="71">
        <v>826</v>
      </c>
      <c r="V221" s="73">
        <v>12</v>
      </c>
      <c r="W221" s="73">
        <f>2370000000000000*12*101325/8.314/820/1000000</f>
        <v>422690348926.58276</v>
      </c>
      <c r="X221" s="63"/>
    </row>
    <row r="222" spans="4:24" ht="15.75">
      <c r="D222" s="3">
        <f t="shared" si="235"/>
        <v>0.86297041031396438</v>
      </c>
      <c r="E222" s="3">
        <f t="shared" si="236"/>
        <v>-6.4004095197509409E-2</v>
      </c>
      <c r="F222" s="3">
        <f t="shared" si="237"/>
        <v>-3.4963088991839695</v>
      </c>
      <c r="G222" s="4">
        <f t="shared" si="238"/>
        <v>4.7201547306608468E-4</v>
      </c>
      <c r="H222" s="3">
        <f t="shared" si="239"/>
        <v>-0.17026513459152323</v>
      </c>
      <c r="I222" s="3">
        <f t="shared" si="240"/>
        <v>1.18546758069965</v>
      </c>
      <c r="J222" s="4">
        <f t="shared" si="241"/>
        <v>0.45405884614340031</v>
      </c>
      <c r="K222" s="4">
        <f t="shared" si="246"/>
        <v>2.6590417040260677E-5</v>
      </c>
      <c r="L222" s="9">
        <f t="shared" si="242"/>
        <v>88309876886667.344</v>
      </c>
      <c r="M222" s="4">
        <f t="shared" si="243"/>
        <v>1567618448855262.5</v>
      </c>
      <c r="N222" s="3">
        <f t="shared" si="244"/>
        <v>7.2727272727272725</v>
      </c>
      <c r="O222" s="24">
        <v>1375</v>
      </c>
      <c r="P222" s="13"/>
      <c r="Q222" s="4">
        <f t="shared" si="245"/>
        <v>35954766624.251877</v>
      </c>
      <c r="R222" s="4">
        <v>40169190115.659256</v>
      </c>
      <c r="S222" s="20">
        <f t="shared" si="221"/>
        <v>1.1007538087206833E-2</v>
      </c>
      <c r="T222" s="58"/>
      <c r="U222" s="24"/>
      <c r="V222" s="24"/>
      <c r="W222" s="24" t="s">
        <v>28</v>
      </c>
      <c r="X222" s="63"/>
    </row>
    <row r="223" spans="4:24" ht="15.75">
      <c r="D223" s="3">
        <f t="shared" si="224"/>
        <v>0.86471704082720302</v>
      </c>
      <c r="E223" s="3">
        <f t="shared" si="225"/>
        <v>-6.3125982374789821E-2</v>
      </c>
      <c r="F223" s="3">
        <f t="shared" si="226"/>
        <v>-3.5385220478769503</v>
      </c>
      <c r="G223" s="4">
        <f t="shared" si="227"/>
        <v>4.2829508119024938E-4</v>
      </c>
      <c r="H223" s="3">
        <f t="shared" si="228"/>
        <v>-0.17026513459152323</v>
      </c>
      <c r="I223" s="3">
        <f t="shared" si="229"/>
        <v>1.18546758069965</v>
      </c>
      <c r="J223" s="4">
        <f t="shared" si="241"/>
        <v>0.45405884614340031</v>
      </c>
      <c r="K223" s="4">
        <f t="shared" si="246"/>
        <v>2.5657419951128724E-5</v>
      </c>
      <c r="L223" s="9">
        <f t="shared" si="242"/>
        <v>89958201555480.844</v>
      </c>
      <c r="M223" s="4">
        <f t="shared" si="232"/>
        <v>1501657427454568.8</v>
      </c>
      <c r="N223" s="3">
        <f t="shared" si="233"/>
        <v>7.0175438596491224</v>
      </c>
      <c r="O223" s="24">
        <v>1425</v>
      </c>
      <c r="P223" s="13"/>
      <c r="Q223" s="4">
        <f t="shared" si="234"/>
        <v>33302121610.383152</v>
      </c>
      <c r="R223" s="4">
        <v>37359699839.855278</v>
      </c>
      <c r="S223" s="20">
        <f t="shared" si="221"/>
        <v>1.1795790396072177E-2</v>
      </c>
      <c r="T223" s="58"/>
      <c r="U223" s="66">
        <v>900</v>
      </c>
      <c r="V223" s="62">
        <v>2807983888950180</v>
      </c>
      <c r="W223" s="63">
        <f t="shared" ref="W223:W229" si="247">101325/8.314/U223/1000000</f>
        <v>1.3541416085317938E-5</v>
      </c>
      <c r="X223" s="6">
        <f t="shared" ref="X223:X244" si="248">V223*W223</f>
        <v>38024078201.143585</v>
      </c>
    </row>
    <row r="224" spans="4:24" ht="15.75">
      <c r="D224" s="3">
        <f t="shared" si="224"/>
        <v>0.86636728399322227</v>
      </c>
      <c r="E224" s="3">
        <f t="shared" si="225"/>
        <v>-6.2297956024334085E-2</v>
      </c>
      <c r="F224" s="3">
        <f t="shared" si="226"/>
        <v>-3.5793619461444024</v>
      </c>
      <c r="G224" s="4">
        <f t="shared" si="227"/>
        <v>3.8985507172944198E-4</v>
      </c>
      <c r="H224" s="3">
        <f t="shared" si="228"/>
        <v>-0.17026513459152323</v>
      </c>
      <c r="I224" s="3">
        <f t="shared" si="229"/>
        <v>1.18546758069965</v>
      </c>
      <c r="J224" s="4">
        <f t="shared" si="241"/>
        <v>0.45405884614340031</v>
      </c>
      <c r="K224" s="4">
        <f t="shared" si="246"/>
        <v>2.4787676901937922E-5</v>
      </c>
      <c r="L224" s="9">
        <f t="shared" si="242"/>
        <v>91588306939312.047</v>
      </c>
      <c r="M224" s="4">
        <f t="shared" si="232"/>
        <v>1440480530412759.5</v>
      </c>
      <c r="N224" s="3">
        <f t="shared" si="233"/>
        <v>6.7796610169491522</v>
      </c>
      <c r="O224" s="24">
        <v>1475</v>
      </c>
      <c r="P224" s="13"/>
      <c r="Q224" s="4">
        <f t="shared" si="234"/>
        <v>30922598702.520954</v>
      </c>
      <c r="R224" s="4">
        <v>34833711587.140839</v>
      </c>
      <c r="S224" s="20">
        <f t="shared" si="221"/>
        <v>1.2606693627132947E-2</v>
      </c>
      <c r="T224" s="58"/>
      <c r="U224" s="66">
        <v>849</v>
      </c>
      <c r="V224" s="62">
        <v>2782750949768470</v>
      </c>
      <c r="W224" s="63">
        <f t="shared" si="247"/>
        <v>1.435485804097308E-5</v>
      </c>
      <c r="X224" s="6">
        <f t="shared" si="248"/>
        <v>39945994847.309395</v>
      </c>
    </row>
    <row r="225" spans="4:24" ht="15.75">
      <c r="D225" s="3">
        <f t="shared" si="224"/>
        <v>0.8679295457414109</v>
      </c>
      <c r="E225" s="3">
        <f t="shared" si="225"/>
        <v>-6.1515527286171344E-2</v>
      </c>
      <c r="F225" s="3">
        <f t="shared" si="226"/>
        <v>-3.618914840303562</v>
      </c>
      <c r="G225" s="4">
        <f t="shared" si="227"/>
        <v>3.5591828024699368E-4</v>
      </c>
      <c r="H225" s="3">
        <f t="shared" si="228"/>
        <v>-0.17026513459152323</v>
      </c>
      <c r="I225" s="3">
        <f t="shared" si="229"/>
        <v>1.18546758069965</v>
      </c>
      <c r="J225" s="4">
        <f t="shared" si="241"/>
        <v>0.45405884614340031</v>
      </c>
      <c r="K225" s="4">
        <f t="shared" si="246"/>
        <v>2.3974966183841593E-5</v>
      </c>
      <c r="L225" s="9">
        <f t="shared" si="242"/>
        <v>93200807893664.203</v>
      </c>
      <c r="M225" s="4">
        <f t="shared" si="232"/>
        <v>1383604506833475.5</v>
      </c>
      <c r="N225" s="3">
        <f t="shared" si="233"/>
        <v>6.557377049180328</v>
      </c>
      <c r="O225" s="24">
        <v>1525</v>
      </c>
      <c r="P225" s="13"/>
      <c r="Q225" s="4">
        <f t="shared" si="234"/>
        <v>28780603613.869896</v>
      </c>
      <c r="R225" s="4">
        <v>32554405609.94471</v>
      </c>
      <c r="S225" s="20">
        <f t="shared" si="221"/>
        <v>1.3438125082763732E-2</v>
      </c>
      <c r="T225" s="58"/>
      <c r="U225" s="66">
        <v>825</v>
      </c>
      <c r="V225" s="62">
        <v>2765914298132320</v>
      </c>
      <c r="W225" s="63">
        <f t="shared" si="247"/>
        <v>1.4772453911255932E-5</v>
      </c>
      <c r="X225" s="6">
        <f t="shared" si="248"/>
        <v>40859341491.643494</v>
      </c>
    </row>
    <row r="226" spans="4:24" ht="15.75">
      <c r="D226" s="3">
        <f t="shared" si="224"/>
        <v>0.86941125556501142</v>
      </c>
      <c r="E226" s="3">
        <f t="shared" si="225"/>
        <v>-6.0774741649054498E-2</v>
      </c>
      <c r="F226" s="3">
        <f t="shared" si="226"/>
        <v>-3.6572591266425163</v>
      </c>
      <c r="G226" s="4">
        <f t="shared" si="227"/>
        <v>3.2584120859744574E-4</v>
      </c>
      <c r="H226" s="3">
        <f t="shared" si="228"/>
        <v>-0.17026513459152323</v>
      </c>
      <c r="I226" s="3">
        <f t="shared" si="229"/>
        <v>1.18546758069965</v>
      </c>
      <c r="J226" s="4">
        <f t="shared" si="241"/>
        <v>0.45405884614340031</v>
      </c>
      <c r="K226" s="4">
        <f t="shared" si="246"/>
        <v>2.3213856146259321E-5</v>
      </c>
      <c r="L226" s="9">
        <f t="shared" si="242"/>
        <v>94796292368857.031</v>
      </c>
      <c r="M226" s="4">
        <f t="shared" si="232"/>
        <v>1330607818081209.7</v>
      </c>
      <c r="N226" s="3">
        <f t="shared" si="233"/>
        <v>6.3492063492063489</v>
      </c>
      <c r="O226" s="24">
        <v>1575</v>
      </c>
      <c r="P226" s="13"/>
      <c r="Q226" s="4">
        <f t="shared" si="234"/>
        <v>26846095454.820107</v>
      </c>
      <c r="R226" s="4">
        <v>30490743879.47094</v>
      </c>
      <c r="S226" s="20">
        <f t="shared" si="221"/>
        <v>1.4288125046197258E-2</v>
      </c>
      <c r="T226" s="58"/>
      <c r="U226" s="66">
        <v>800</v>
      </c>
      <c r="V226" s="62">
        <v>2882050796968990</v>
      </c>
      <c r="W226" s="63">
        <f t="shared" si="247"/>
        <v>1.523409309598268E-5</v>
      </c>
      <c r="X226" s="6">
        <f t="shared" si="248"/>
        <v>43905430148.376671</v>
      </c>
    </row>
    <row r="227" spans="4:24" ht="15.75">
      <c r="D227" s="3">
        <f t="shared" si="224"/>
        <v>0.87081900595504003</v>
      </c>
      <c r="E227" s="3">
        <f t="shared" si="225"/>
        <v>-6.0072100885742059E-2</v>
      </c>
      <c r="F227" s="3">
        <f t="shared" si="226"/>
        <v>-3.6944662725867352</v>
      </c>
      <c r="G227" s="4">
        <f t="shared" si="227"/>
        <v>2.9908791279608244E-4</v>
      </c>
      <c r="H227" s="3">
        <f t="shared" si="228"/>
        <v>-0.17026513459152323</v>
      </c>
      <c r="I227" s="3">
        <f t="shared" si="229"/>
        <v>1.18546758069965</v>
      </c>
      <c r="J227" s="4">
        <f t="shared" si="241"/>
        <v>0.45405884614340031</v>
      </c>
      <c r="K227" s="4">
        <f t="shared" si="246"/>
        <v>2.2499583649451342E-5</v>
      </c>
      <c r="L227" s="9">
        <f t="shared" si="242"/>
        <v>96375321801946.422</v>
      </c>
      <c r="M227" s="4">
        <f t="shared" si="232"/>
        <v>1281121210591727.2</v>
      </c>
      <c r="N227" s="3">
        <f t="shared" si="233"/>
        <v>6.1538461538461542</v>
      </c>
      <c r="O227" s="24">
        <v>1625</v>
      </c>
      <c r="P227" s="13"/>
      <c r="Q227" s="4">
        <f t="shared" si="234"/>
        <v>25093586050.864525</v>
      </c>
      <c r="R227" s="4">
        <v>28616414732.47641</v>
      </c>
      <c r="S227" s="20">
        <f t="shared" si="221"/>
        <v>1.5154883579185516E-2</v>
      </c>
      <c r="T227" s="58"/>
      <c r="U227" s="66">
        <v>775</v>
      </c>
      <c r="V227" s="62">
        <v>3089324101488360</v>
      </c>
      <c r="W227" s="63">
        <f t="shared" si="247"/>
        <v>1.5725515453917606E-5</v>
      </c>
      <c r="X227" s="6">
        <f t="shared" si="248"/>
        <v>48581213900.115326</v>
      </c>
    </row>
    <row r="228" spans="4:24" ht="15.75">
      <c r="D228" s="3">
        <f t="shared" ref="D228:D231" si="249">10^E228</f>
        <v>0.87215866847842627</v>
      </c>
      <c r="E228" s="3">
        <f t="shared" ref="E228:E231" si="250">LOG(J228)/(1+(F228/(I228-0.14*F228))^2)</f>
        <v>-5.9404498351731422E-2</v>
      </c>
      <c r="F228" s="3">
        <f t="shared" ref="F228:F231" si="251">LOG(G228)+H228</f>
        <v>-3.7306016071219799</v>
      </c>
      <c r="G228" s="4">
        <f t="shared" ref="G228:G231" si="252">M228*K228/L228</f>
        <v>2.7520956727784043E-4</v>
      </c>
      <c r="H228" s="3">
        <f t="shared" ref="H228:H231" si="253">-0.4-0.67*LOG(J228)</f>
        <v>-0.17026513459152323</v>
      </c>
      <c r="I228" s="3">
        <f t="shared" ref="I228:I231" si="254">0.75-1.27*LOG(J228)</f>
        <v>1.18546758069965</v>
      </c>
      <c r="J228" s="4">
        <f t="shared" si="241"/>
        <v>0.45405884614340031</v>
      </c>
      <c r="K228" s="4">
        <f t="shared" si="246"/>
        <v>2.1827954286781154E-5</v>
      </c>
      <c r="L228" s="9">
        <f t="shared" si="242"/>
        <v>97938431820964.672</v>
      </c>
      <c r="M228" s="4">
        <f t="shared" ref="M228:M231" si="255">$B$7*O228^$B$8*EXP(-$B$9/1.987/O228)</f>
        <v>1234819950930576.2</v>
      </c>
      <c r="N228" s="3">
        <f t="shared" ref="N228:N231" si="256">10000/O228</f>
        <v>5.9701492537313436</v>
      </c>
      <c r="O228" s="24">
        <v>1675</v>
      </c>
      <c r="P228" s="13"/>
      <c r="Q228" s="4">
        <f t="shared" ref="Q228:Q231" si="257">L228/(1+L228/M228/K228)*D228</f>
        <v>23501342372.22401</v>
      </c>
      <c r="R228" s="4">
        <v>26908995486.341854</v>
      </c>
      <c r="S228" s="20">
        <f t="shared" si="221"/>
        <v>1.6036728843789337E-2</v>
      </c>
      <c r="T228" s="58"/>
      <c r="U228" s="66">
        <v>750</v>
      </c>
      <c r="V228" s="62">
        <v>3013359779133480</v>
      </c>
      <c r="W228" s="63">
        <f t="shared" si="247"/>
        <v>1.6249699302381525E-5</v>
      </c>
      <c r="X228" s="6">
        <f t="shared" si="248"/>
        <v>48966190300.809853</v>
      </c>
    </row>
    <row r="229" spans="4:24" ht="15.75">
      <c r="D229" s="3">
        <f t="shared" si="249"/>
        <v>0.87343549095025752</v>
      </c>
      <c r="E229" s="3">
        <f t="shared" si="250"/>
        <v>-5.8769165047269076E-2</v>
      </c>
      <c r="F229" s="3">
        <f t="shared" si="251"/>
        <v>-3.7657250020339443</v>
      </c>
      <c r="G229" s="4">
        <f t="shared" si="252"/>
        <v>2.5382835344274474E-4</v>
      </c>
      <c r="H229" s="3">
        <f t="shared" si="253"/>
        <v>-0.17026513459152323</v>
      </c>
      <c r="I229" s="3">
        <f t="shared" si="254"/>
        <v>1.18546758069965</v>
      </c>
      <c r="J229" s="4">
        <f t="shared" si="241"/>
        <v>0.45405884614340031</v>
      </c>
      <c r="K229" s="4">
        <f t="shared" si="246"/>
        <v>2.1195259959628079E-5</v>
      </c>
      <c r="L229" s="9">
        <f t="shared" si="242"/>
        <v>99486133148339.266</v>
      </c>
      <c r="M229" s="4">
        <f t="shared" si="255"/>
        <v>1191417393111876.5</v>
      </c>
      <c r="N229" s="3">
        <f t="shared" si="256"/>
        <v>5.7971014492753623</v>
      </c>
      <c r="O229" s="24">
        <v>1725</v>
      </c>
      <c r="P229" s="13"/>
      <c r="Q229" s="4">
        <f t="shared" si="257"/>
        <v>22050746481.361423</v>
      </c>
      <c r="R229" s="4">
        <v>25349283071.521214</v>
      </c>
      <c r="S229" s="20">
        <f t="shared" si="221"/>
        <v>1.6932116570973616E-2</v>
      </c>
      <c r="T229" s="58"/>
      <c r="U229" s="66">
        <v>725</v>
      </c>
      <c r="V229" s="62">
        <v>3209966280860060</v>
      </c>
      <c r="W229" s="63">
        <f t="shared" si="247"/>
        <v>1.6810033761084338E-5</v>
      </c>
      <c r="X229" s="6">
        <f t="shared" si="248"/>
        <v>53959641553.199936</v>
      </c>
    </row>
    <row r="230" spans="4:24" ht="15.75">
      <c r="D230" s="3">
        <f t="shared" si="249"/>
        <v>0.87465417920642063</v>
      </c>
      <c r="E230" s="3">
        <f t="shared" si="250"/>
        <v>-5.8163624405283075E-2</v>
      </c>
      <c r="F230" s="3">
        <f t="shared" si="251"/>
        <v>-3.7998914615068049</v>
      </c>
      <c r="G230" s="4">
        <f t="shared" si="252"/>
        <v>2.3462466907662606E-4</v>
      </c>
      <c r="H230" s="3">
        <f t="shared" si="253"/>
        <v>-0.17026513459152323</v>
      </c>
      <c r="I230" s="3">
        <f t="shared" si="254"/>
        <v>1.18546758069965</v>
      </c>
      <c r="J230" s="4">
        <f t="shared" si="241"/>
        <v>0.45405884614340031</v>
      </c>
      <c r="K230" s="4">
        <f t="shared" si="246"/>
        <v>2.0598210383300524E-5</v>
      </c>
      <c r="L230" s="9">
        <f t="shared" si="242"/>
        <v>101018912623680.02</v>
      </c>
      <c r="M230" s="4">
        <f t="shared" si="255"/>
        <v>1150659620606018.2</v>
      </c>
      <c r="N230" s="3">
        <f t="shared" si="256"/>
        <v>5.6338028169014081</v>
      </c>
      <c r="O230" s="24">
        <v>1775</v>
      </c>
      <c r="P230" s="13"/>
      <c r="Q230" s="4">
        <f t="shared" si="257"/>
        <v>20725778566.223888</v>
      </c>
      <c r="R230" s="4">
        <v>23920755245.045521</v>
      </c>
      <c r="S230" s="20">
        <f t="shared" si="221"/>
        <v>1.783962044273538E-2</v>
      </c>
      <c r="T230" s="58"/>
      <c r="U230" s="24"/>
      <c r="V230" s="24"/>
      <c r="W230" s="24" t="s">
        <v>29</v>
      </c>
      <c r="X230" s="58"/>
    </row>
    <row r="231" spans="4:24" ht="15.75">
      <c r="D231" s="3">
        <f t="shared" si="249"/>
        <v>0.87581896625845512</v>
      </c>
      <c r="E231" s="3">
        <f t="shared" si="250"/>
        <v>-5.7585654197328549E-2</v>
      </c>
      <c r="F231" s="3">
        <f t="shared" si="251"/>
        <v>-3.8331516344339902</v>
      </c>
      <c r="G231" s="4">
        <f t="shared" si="252"/>
        <v>2.1732690749874496E-4</v>
      </c>
      <c r="H231" s="3">
        <f t="shared" si="253"/>
        <v>-0.17026513459152323</v>
      </c>
      <c r="I231" s="3">
        <f t="shared" si="254"/>
        <v>1.18546758069965</v>
      </c>
      <c r="J231" s="4">
        <f t="shared" si="241"/>
        <v>0.45405884614340031</v>
      </c>
      <c r="K231" s="4">
        <f t="shared" si="246"/>
        <v>2.0033875852251195E-5</v>
      </c>
      <c r="L231" s="9">
        <f t="shared" si="242"/>
        <v>102537234289791.45</v>
      </c>
      <c r="M231" s="4">
        <f t="shared" si="255"/>
        <v>1112320960557944</v>
      </c>
      <c r="N231" s="3">
        <f t="shared" si="256"/>
        <v>5.4794520547945202</v>
      </c>
      <c r="O231" s="24">
        <v>1825</v>
      </c>
      <c r="P231" s="13"/>
      <c r="Q231" s="4">
        <f t="shared" si="257"/>
        <v>19512596841.412483</v>
      </c>
      <c r="R231" s="4">
        <v>22609134074.977455</v>
      </c>
      <c r="S231" s="20">
        <f t="shared" si="221"/>
        <v>1.875792324011669E-2</v>
      </c>
      <c r="T231" s="58"/>
      <c r="U231" s="24">
        <v>1175</v>
      </c>
      <c r="V231" s="24">
        <f>2580000000000000000*U231^(-1.03)</f>
        <v>1776154348157494</v>
      </c>
      <c r="W231" s="63">
        <f>3*101325/8.314/U231/1000000</f>
        <v>3.1116445472645471E-5</v>
      </c>
      <c r="X231" s="6">
        <f t="shared" si="248"/>
        <v>55267609925.444824</v>
      </c>
    </row>
    <row r="232" spans="4:24" ht="15.75">
      <c r="D232" s="3">
        <f t="shared" si="178"/>
        <v>0.86973870321737801</v>
      </c>
      <c r="E232" s="3">
        <f t="shared" si="179"/>
        <v>-6.0611203468235439E-2</v>
      </c>
      <c r="F232" s="3">
        <f t="shared" si="180"/>
        <v>-3.6658450814496679</v>
      </c>
      <c r="G232" s="4">
        <f t="shared" si="181"/>
        <v>3.1946262296839921E-4</v>
      </c>
      <c r="H232" s="3">
        <f t="shared" si="182"/>
        <v>-0.17026513459152323</v>
      </c>
      <c r="I232" s="3">
        <f t="shared" si="183"/>
        <v>1.18546758069965</v>
      </c>
      <c r="J232" s="4">
        <f t="shared" si="222"/>
        <v>0.45405884614340031</v>
      </c>
      <c r="K232" s="4">
        <f>304*101325/760/8.314/O232/1000000</f>
        <v>6.5347316229416322E-6</v>
      </c>
      <c r="L232" s="9">
        <f t="shared" si="223"/>
        <v>65736176450958.789</v>
      </c>
      <c r="M232" s="4">
        <f t="shared" si="184"/>
        <v>3213636391617177.5</v>
      </c>
      <c r="N232" s="3">
        <f t="shared" si="185"/>
        <v>13.404825737265416</v>
      </c>
      <c r="O232" s="12">
        <v>746</v>
      </c>
      <c r="P232" s="13"/>
      <c r="Q232" s="4">
        <f t="shared" si="186"/>
        <v>18258898343.384956</v>
      </c>
      <c r="R232" s="4">
        <v>18969385161.43512</v>
      </c>
      <c r="S232" s="63">
        <f t="shared" ref="S232:S233" si="258">(R232-Q232)^2/R232^2</f>
        <v>1.4028315994057692E-3</v>
      </c>
      <c r="T232" s="58"/>
      <c r="U232" s="24">
        <v>1225</v>
      </c>
      <c r="V232" s="24">
        <f t="shared" ref="V232:V244" si="259">2580000000000000000*U232^(-1.03)</f>
        <v>1701529702134378.5</v>
      </c>
      <c r="W232" s="63">
        <f t="shared" ref="W232:W244" si="260">3*101325/8.314/U232/1000000</f>
        <v>2.9846386473761985E-5</v>
      </c>
      <c r="X232" s="6">
        <f t="shared" si="248"/>
        <v>50784513086.48777</v>
      </c>
    </row>
    <row r="233" spans="4:24" ht="15.75">
      <c r="D233" s="3">
        <f t="shared" si="178"/>
        <v>0.88085811429120486</v>
      </c>
      <c r="E233" s="3">
        <f t="shared" si="179"/>
        <v>-5.5094040671847123E-2</v>
      </c>
      <c r="F233" s="3">
        <f t="shared" si="180"/>
        <v>-3.9843126600280532</v>
      </c>
      <c r="G233" s="4">
        <f t="shared" si="181"/>
        <v>1.5344490567615474E-4</v>
      </c>
      <c r="H233" s="3">
        <f t="shared" si="182"/>
        <v>-0.17026513459152323</v>
      </c>
      <c r="I233" s="3">
        <f t="shared" si="183"/>
        <v>1.18546758069965</v>
      </c>
      <c r="J233" s="4">
        <f t="shared" si="222"/>
        <v>0.45405884614340031</v>
      </c>
      <c r="K233" s="4">
        <f>304*101325/760/8.314/O233/1000000</f>
        <v>4.9391183289913448E-6</v>
      </c>
      <c r="L233" s="9">
        <f t="shared" si="223"/>
        <v>74824519218953.656</v>
      </c>
      <c r="M233" s="4">
        <f t="shared" si="184"/>
        <v>2324593283465773</v>
      </c>
      <c r="N233" s="3">
        <f t="shared" si="185"/>
        <v>10.131712259371835</v>
      </c>
      <c r="O233" s="12">
        <v>987</v>
      </c>
      <c r="P233" s="13"/>
      <c r="Q233" s="4">
        <f t="shared" si="186"/>
        <v>10111969097.27158</v>
      </c>
      <c r="R233" s="4">
        <v>12171702424.518497</v>
      </c>
      <c r="S233" s="63">
        <f t="shared" si="258"/>
        <v>2.8636460651521013E-2</v>
      </c>
      <c r="T233" s="58"/>
      <c r="U233" s="24">
        <v>1275</v>
      </c>
      <c r="V233" s="24">
        <f t="shared" si="259"/>
        <v>1632842198762158</v>
      </c>
      <c r="W233" s="63">
        <f t="shared" si="260"/>
        <v>2.8675939945379162E-5</v>
      </c>
      <c r="X233" s="6">
        <f t="shared" si="248"/>
        <v>46823284831.984505</v>
      </c>
    </row>
    <row r="234" spans="4:24" ht="15.75">
      <c r="D234" s="3">
        <f t="shared" si="178"/>
        <v>0.86302013093256558</v>
      </c>
      <c r="E234" s="3">
        <f t="shared" si="179"/>
        <v>-6.3979073750652954E-2</v>
      </c>
      <c r="F234" s="3">
        <f t="shared" si="180"/>
        <v>-3.4974965436228973</v>
      </c>
      <c r="G234" s="4">
        <f t="shared" si="181"/>
        <v>4.7072643816336641E-4</v>
      </c>
      <c r="H234" s="3">
        <f t="shared" si="182"/>
        <v>-0.17026513459152323</v>
      </c>
      <c r="I234" s="3">
        <f t="shared" si="183"/>
        <v>1.18546758069965</v>
      </c>
      <c r="J234" s="4">
        <f t="shared" si="222"/>
        <v>0.45405884614340031</v>
      </c>
      <c r="K234" s="4">
        <f>50*101325/760/8.314/O234/1000000</f>
        <v>2.6905851458817871E-6</v>
      </c>
      <c r="L234" s="9">
        <f t="shared" si="223"/>
        <v>48206958106244.187</v>
      </c>
      <c r="M234" s="4">
        <f t="shared" si="184"/>
        <v>8433960812864739</v>
      </c>
      <c r="N234" s="3">
        <f t="shared" si="185"/>
        <v>33.557046979865774</v>
      </c>
      <c r="O234" s="12">
        <v>298</v>
      </c>
      <c r="P234" s="13"/>
      <c r="Q234" s="4">
        <f t="shared" si="186"/>
        <v>19574688490.89098</v>
      </c>
      <c r="R234" s="4"/>
      <c r="T234" s="58"/>
      <c r="U234" s="24">
        <v>1325</v>
      </c>
      <c r="V234" s="24">
        <f t="shared" si="259"/>
        <v>1569413381752519.5</v>
      </c>
      <c r="W234" s="63">
        <f t="shared" si="260"/>
        <v>2.7593829004044101E-5</v>
      </c>
      <c r="X234" s="6">
        <f t="shared" si="248"/>
        <v>43306124492.73761</v>
      </c>
    </row>
    <row r="235" spans="4:24" ht="15.75">
      <c r="D235" s="3">
        <f>10^E235</f>
        <v>0.80533500403353697</v>
      </c>
      <c r="E235" s="3">
        <f>LOG(J235)/(1+(F235/(I235-0.14*F235))^2)</f>
        <v>-9.4023423808076365E-2</v>
      </c>
      <c r="F235" s="3">
        <f>LOG(G235)+H235</f>
        <v>-2.4974965436228973</v>
      </c>
      <c r="G235" s="4">
        <f>M235*K235/L235</f>
        <v>4.7072643816336648E-3</v>
      </c>
      <c r="H235" s="3">
        <f>-0.4-0.67*LOG(J235)</f>
        <v>-0.17026513459152323</v>
      </c>
      <c r="I235" s="3">
        <f>0.75-1.27*LOG(J235)</f>
        <v>1.18546758069965</v>
      </c>
      <c r="J235" s="4">
        <f>(1-$B$10)*EXP(-O235/$B$11)+$B$10*EXP(-O235/$B$12)+EXP(-B$13/O235)</f>
        <v>0.45405884614340031</v>
      </c>
      <c r="K235" s="4">
        <f>500*101325/760/8.314/O235/1000000</f>
        <v>2.6905851458817875E-5</v>
      </c>
      <c r="L235" s="9">
        <f>B$4*O235^B$5*EXP(-B$6/1.987/O235)</f>
        <v>48206958106244.187</v>
      </c>
      <c r="M235" s="4">
        <f>$B$7*O235^$B$8*EXP(-$B$9/1.987/O235)</f>
        <v>8433960812864739</v>
      </c>
      <c r="N235" s="3">
        <f>10000/O235</f>
        <v>33.557046979865774</v>
      </c>
      <c r="O235" s="12">
        <v>298</v>
      </c>
      <c r="P235" s="13"/>
      <c r="Q235" s="4">
        <f>L235/(1+L235/M235/K235)*D235</f>
        <v>181892734850.25067</v>
      </c>
      <c r="R235" s="4"/>
      <c r="U235" s="24">
        <v>1375</v>
      </c>
      <c r="V235" s="24">
        <f t="shared" si="259"/>
        <v>1510664163515709.2</v>
      </c>
      <c r="W235" s="63">
        <f t="shared" si="260"/>
        <v>2.6590417040260677E-5</v>
      </c>
      <c r="X235" s="6">
        <f t="shared" si="248"/>
        <v>40169190115.659256</v>
      </c>
    </row>
    <row r="236" spans="4:24" ht="15.75">
      <c r="D236" s="59">
        <f t="shared" si="178"/>
        <v>0.8260323378769634</v>
      </c>
      <c r="E236" s="59">
        <f t="shared" si="179"/>
        <v>-8.3002950395580768E-2</v>
      </c>
      <c r="F236" s="59">
        <f t="shared" si="180"/>
        <v>-2.7884153475346087</v>
      </c>
      <c r="G236" s="58">
        <f t="shared" si="181"/>
        <v>2.4090720393493107E-3</v>
      </c>
      <c r="H236" s="59">
        <f t="shared" si="182"/>
        <v>-0.17026513459152323</v>
      </c>
      <c r="I236" s="59">
        <f t="shared" si="183"/>
        <v>1.18546758069965</v>
      </c>
      <c r="J236" s="58">
        <f t="shared" si="222"/>
        <v>0.45405884614340031</v>
      </c>
      <c r="K236" s="58">
        <f>250*101325/760/8.314/O236/1000000</f>
        <v>1.3601085209071968E-5</v>
      </c>
      <c r="L236" s="60">
        <f t="shared" si="223"/>
        <v>48104076652278.648</v>
      </c>
      <c r="M236" s="58">
        <f t="shared" si="184"/>
        <v>8520363210754979</v>
      </c>
      <c r="N236" s="59">
        <f t="shared" si="185"/>
        <v>33.926616746291828</v>
      </c>
      <c r="O236" s="74">
        <v>294.75382337064298</v>
      </c>
      <c r="P236" s="61"/>
      <c r="Q236" s="58">
        <f t="shared" si="186"/>
        <v>95495681208.209778</v>
      </c>
      <c r="R236" s="58">
        <v>106861934658.22092</v>
      </c>
      <c r="S236" s="58">
        <f>(R236-Q236)^2/R236^2</f>
        <v>1.1313281847358123E-2</v>
      </c>
      <c r="U236" s="24">
        <v>1425</v>
      </c>
      <c r="V236" s="24">
        <f t="shared" si="259"/>
        <v>1456097297039866.5</v>
      </c>
      <c r="W236" s="63">
        <f t="shared" si="260"/>
        <v>2.5657419951128724E-5</v>
      </c>
      <c r="X236" s="6">
        <f t="shared" si="248"/>
        <v>37359699839.855278</v>
      </c>
    </row>
    <row r="237" spans="4:24" ht="15.75">
      <c r="D237" s="59">
        <f t="shared" si="178"/>
        <v>0.85302908283622902</v>
      </c>
      <c r="E237" s="59">
        <f t="shared" si="179"/>
        <v>-6.9036161915736013E-2</v>
      </c>
      <c r="F237" s="59">
        <f t="shared" si="180"/>
        <v>-3.2739685005389467</v>
      </c>
      <c r="G237" s="58">
        <f t="shared" si="181"/>
        <v>7.8758354539114957E-4</v>
      </c>
      <c r="H237" s="59">
        <f t="shared" si="182"/>
        <v>-0.17026513459152323</v>
      </c>
      <c r="I237" s="59">
        <f t="shared" si="183"/>
        <v>1.18546758069965</v>
      </c>
      <c r="J237" s="58">
        <f t="shared" si="222"/>
        <v>0.45405884614340031</v>
      </c>
      <c r="K237" s="58">
        <f t="shared" ref="K237:K254" si="261">250*101325/760/8.314/O237/1000000</f>
        <v>8.3305679178222038E-6</v>
      </c>
      <c r="L237" s="60">
        <f t="shared" si="223"/>
        <v>55155925089748.617</v>
      </c>
      <c r="M237" s="58">
        <f t="shared" si="184"/>
        <v>5214518320963289</v>
      </c>
      <c r="N237" s="59">
        <f t="shared" si="185"/>
        <v>20.779811366698482</v>
      </c>
      <c r="O237" s="74">
        <v>481.2363222904853</v>
      </c>
      <c r="P237" s="61"/>
      <c r="Q237" s="58">
        <f t="shared" si="186"/>
        <v>37026335896.451653</v>
      </c>
      <c r="R237" s="58">
        <v>40551568213.579437</v>
      </c>
      <c r="S237" s="58">
        <f t="shared" ref="S237:S240" si="262">(R237-Q237)^2/R237^2</f>
        <v>7.5571871550662991E-3</v>
      </c>
      <c r="U237" s="24">
        <v>1475</v>
      </c>
      <c r="V237" s="24">
        <f t="shared" si="259"/>
        <v>1405283428735409.7</v>
      </c>
      <c r="W237" s="63">
        <f t="shared" si="260"/>
        <v>2.4787676901937922E-5</v>
      </c>
      <c r="X237" s="6">
        <f t="shared" si="248"/>
        <v>34833711587.140839</v>
      </c>
    </row>
    <row r="238" spans="4:24" ht="15.75">
      <c r="D238" s="59">
        <f t="shared" si="178"/>
        <v>0.85349096353474985</v>
      </c>
      <c r="E238" s="59">
        <f t="shared" si="179"/>
        <v>-6.8801072683716866E-2</v>
      </c>
      <c r="F238" s="59">
        <f t="shared" si="180"/>
        <v>-3.2836776081610748</v>
      </c>
      <c r="G238" s="58">
        <f t="shared" si="181"/>
        <v>7.7017164684159488E-4</v>
      </c>
      <c r="H238" s="59">
        <f t="shared" si="182"/>
        <v>-0.17026513459152323</v>
      </c>
      <c r="I238" s="59">
        <f t="shared" si="183"/>
        <v>1.18546758069965</v>
      </c>
      <c r="J238" s="58">
        <f t="shared" si="222"/>
        <v>0.45405884614340031</v>
      </c>
      <c r="K238" s="58">
        <f t="shared" si="261"/>
        <v>8.2539029494275732E-6</v>
      </c>
      <c r="L238" s="60">
        <f t="shared" si="223"/>
        <v>55336473946848.187</v>
      </c>
      <c r="M238" s="58">
        <f t="shared" si="184"/>
        <v>5163446133444878</v>
      </c>
      <c r="N238" s="59">
        <f t="shared" si="185"/>
        <v>20.58857787609022</v>
      </c>
      <c r="O238" s="74">
        <v>485.70620371080264</v>
      </c>
      <c r="P238" s="61"/>
      <c r="Q238" s="58">
        <f t="shared" si="186"/>
        <v>36346582592.269714</v>
      </c>
      <c r="R238" s="58">
        <v>36744237423.890015</v>
      </c>
      <c r="S238" s="58">
        <f t="shared" si="262"/>
        <v>1.1712080533998681E-4</v>
      </c>
      <c r="U238" s="24">
        <v>1525</v>
      </c>
      <c r="V238" s="24">
        <f t="shared" si="259"/>
        <v>1357849907287268.7</v>
      </c>
      <c r="W238" s="63">
        <f t="shared" si="260"/>
        <v>2.3974966183841593E-5</v>
      </c>
      <c r="X238" s="6">
        <f t="shared" si="248"/>
        <v>32554405609.94471</v>
      </c>
    </row>
    <row r="239" spans="4:24" ht="15.75">
      <c r="D239" s="59">
        <f t="shared" si="178"/>
        <v>0.85567179708263286</v>
      </c>
      <c r="E239" s="59">
        <f t="shared" si="179"/>
        <v>-6.7692782108214E-2</v>
      </c>
      <c r="F239" s="59">
        <f t="shared" si="180"/>
        <v>-3.3302944310957043</v>
      </c>
      <c r="G239" s="58">
        <f t="shared" si="181"/>
        <v>6.9178430317120296E-4</v>
      </c>
      <c r="H239" s="59">
        <f t="shared" si="182"/>
        <v>-0.17026513459152323</v>
      </c>
      <c r="I239" s="59">
        <f t="shared" si="183"/>
        <v>1.18546758069965</v>
      </c>
      <c r="J239" s="58">
        <f t="shared" si="222"/>
        <v>0.45405884614340031</v>
      </c>
      <c r="K239" s="58">
        <f t="shared" si="261"/>
        <v>7.8972756527870062E-6</v>
      </c>
      <c r="L239" s="60">
        <f t="shared" si="223"/>
        <v>56223573536808.195</v>
      </c>
      <c r="M239" s="58">
        <f t="shared" si="184"/>
        <v>4925063699306173</v>
      </c>
      <c r="N239" s="59">
        <f t="shared" si="185"/>
        <v>19.69900491713835</v>
      </c>
      <c r="O239" s="74">
        <v>507.6398550111478</v>
      </c>
      <c r="P239" s="61"/>
      <c r="Q239" s="58">
        <f t="shared" si="186"/>
        <v>33257992634.921143</v>
      </c>
      <c r="R239" s="58">
        <v>32506153327.605309</v>
      </c>
      <c r="S239" s="58">
        <f t="shared" si="262"/>
        <v>5.3495702626311123E-4</v>
      </c>
      <c r="T239" s="27"/>
      <c r="U239" s="24">
        <v>1575</v>
      </c>
      <c r="V239" s="24">
        <f t="shared" si="259"/>
        <v>1313471733750888</v>
      </c>
      <c r="W239" s="63">
        <f t="shared" si="260"/>
        <v>2.3213856146259321E-5</v>
      </c>
      <c r="X239" s="6">
        <f t="shared" si="248"/>
        <v>30490743879.47094</v>
      </c>
    </row>
    <row r="240" spans="4:24" ht="15.75">
      <c r="D240" s="59">
        <f t="shared" si="178"/>
        <v>0.85705512976736375</v>
      </c>
      <c r="E240" s="59">
        <f t="shared" si="179"/>
        <v>-6.6991241339707311E-2</v>
      </c>
      <c r="F240" s="59">
        <f t="shared" si="180"/>
        <v>-3.3605458075553778</v>
      </c>
      <c r="G240" s="58">
        <f t="shared" si="181"/>
        <v>6.4523709469800996E-4</v>
      </c>
      <c r="H240" s="59">
        <f t="shared" si="182"/>
        <v>-0.17026513459152323</v>
      </c>
      <c r="I240" s="59">
        <f t="shared" si="183"/>
        <v>1.18546758069965</v>
      </c>
      <c r="J240" s="58">
        <f t="shared" si="222"/>
        <v>0.45405884614340031</v>
      </c>
      <c r="K240" s="58">
        <f t="shared" si="261"/>
        <v>7.6755821492123014E-6</v>
      </c>
      <c r="L240" s="60">
        <f t="shared" si="223"/>
        <v>56817096318808.594</v>
      </c>
      <c r="M240" s="58">
        <f t="shared" si="184"/>
        <v>4776249859000897</v>
      </c>
      <c r="N240" s="59">
        <f t="shared" si="185"/>
        <v>19.146011504090328</v>
      </c>
      <c r="O240" s="74">
        <v>522.30199474515166</v>
      </c>
      <c r="P240" s="61"/>
      <c r="Q240" s="58">
        <f t="shared" si="186"/>
        <v>31399807685.391655</v>
      </c>
      <c r="R240" s="58">
        <v>32740947099.516972</v>
      </c>
      <c r="S240" s="58">
        <f t="shared" si="262"/>
        <v>1.6778973019765E-3</v>
      </c>
      <c r="T240" s="27"/>
      <c r="U240" s="24">
        <v>1625</v>
      </c>
      <c r="V240" s="24">
        <f t="shared" si="259"/>
        <v>1271864189947987.2</v>
      </c>
      <c r="W240" s="63">
        <f t="shared" si="260"/>
        <v>2.2499583649451342E-5</v>
      </c>
      <c r="X240" s="6">
        <f t="shared" si="248"/>
        <v>28616414732.47641</v>
      </c>
    </row>
    <row r="241" spans="4:27" ht="15.75">
      <c r="D241" s="59">
        <f t="shared" ref="D241:D245" si="263">10^E241</f>
        <v>0.85899198824146172</v>
      </c>
      <c r="E241" s="59">
        <f t="shared" ref="E241:E245" si="264">LOG(J241)/(1+(F241/(I241-0.14*F241))^2)</f>
        <v>-6.6010886784298811E-2</v>
      </c>
      <c r="F241" s="59">
        <f t="shared" ref="F241:F245" si="265">LOG(G241)+H241</f>
        <v>-3.4038275890080048</v>
      </c>
      <c r="G241" s="58">
        <f t="shared" ref="G241:G245" si="266">M241*K241/L241</f>
        <v>5.84033213217963E-4</v>
      </c>
      <c r="H241" s="59">
        <f t="shared" ref="H241:H245" si="267">-0.4-0.67*LOG(J241)</f>
        <v>-0.17026513459152323</v>
      </c>
      <c r="I241" s="59">
        <f t="shared" ref="I241:I245" si="268">0.75-1.27*LOG(J241)</f>
        <v>1.18546758069965</v>
      </c>
      <c r="J241" s="58">
        <f t="shared" ref="J241:J245" si="269">(1-$B$10)*EXP(-O241/$B$11)+$B$10*EXP(-O241/$B$12)+EXP(-B$13/O241)</f>
        <v>0.45405884614340031</v>
      </c>
      <c r="K241" s="58">
        <f t="shared" si="261"/>
        <v>7.3709717625101799E-6</v>
      </c>
      <c r="L241" s="60">
        <f t="shared" ref="L241:L245" si="270">B$4*O241^B$5*EXP(-B$6/1.987/O241)</f>
        <v>57690634925982.602</v>
      </c>
      <c r="M241" s="58">
        <f t="shared" ref="M241:M245" si="271">$B$7*O241^$B$8*EXP(-$B$9/1.987/O241)</f>
        <v>4571072576858149</v>
      </c>
      <c r="N241" s="59">
        <f t="shared" ref="N241:N245" si="272">10000/O241</f>
        <v>18.386189792239751</v>
      </c>
      <c r="O241" s="74">
        <v>543.88647745933167</v>
      </c>
      <c r="P241" s="61"/>
      <c r="Q241" s="58">
        <f t="shared" ref="Q241:Q245" si="273">L241/(1+L241/M241/K241)*D241</f>
        <v>28925335778.184422</v>
      </c>
      <c r="R241" s="58">
        <v>28923770378.387711</v>
      </c>
      <c r="S241" s="58">
        <f>(R241-Q241)^2/R241^2</f>
        <v>2.9291440904471555E-9</v>
      </c>
      <c r="T241" s="27"/>
      <c r="U241" s="24">
        <v>1675</v>
      </c>
      <c r="V241" s="24">
        <f t="shared" si="259"/>
        <v>1232776793134377.2</v>
      </c>
      <c r="W241" s="63">
        <f t="shared" si="260"/>
        <v>2.1827954286781154E-5</v>
      </c>
      <c r="X241" s="6">
        <f t="shared" si="248"/>
        <v>26908995486.341854</v>
      </c>
    </row>
    <row r="242" spans="4:27" ht="15.75">
      <c r="D242" s="59">
        <f t="shared" si="263"/>
        <v>0.85973515194911299</v>
      </c>
      <c r="E242" s="59">
        <f t="shared" si="264"/>
        <v>-6.5635315921477505E-2</v>
      </c>
      <c r="F242" s="59">
        <f t="shared" si="265"/>
        <v>-3.4207300496871591</v>
      </c>
      <c r="G242" s="58">
        <f t="shared" si="266"/>
        <v>5.6173965721009191E-4</v>
      </c>
      <c r="H242" s="59">
        <f t="shared" si="267"/>
        <v>-0.17026513459152323</v>
      </c>
      <c r="I242" s="59">
        <f t="shared" si="268"/>
        <v>1.18546758069965</v>
      </c>
      <c r="J242" s="58">
        <f t="shared" si="269"/>
        <v>0.45405884614340031</v>
      </c>
      <c r="K242" s="58">
        <f t="shared" si="261"/>
        <v>7.2558657621120256E-6</v>
      </c>
      <c r="L242" s="60">
        <f t="shared" si="270"/>
        <v>58039550295389.422</v>
      </c>
      <c r="M242" s="58">
        <f t="shared" si="271"/>
        <v>4493346232754708.5</v>
      </c>
      <c r="N242" s="59">
        <f t="shared" si="272"/>
        <v>18.099068794122488</v>
      </c>
      <c r="O242" s="74">
        <v>552.51461352792978</v>
      </c>
      <c r="P242" s="61"/>
      <c r="Q242" s="58">
        <f t="shared" si="273"/>
        <v>28014309074.911354</v>
      </c>
      <c r="R242" s="58">
        <v>23575140765.488247</v>
      </c>
      <c r="S242" s="58">
        <f t="shared" ref="S242:S245" si="274">(R242-Q242)^2/R242^2</f>
        <v>3.5456399638382721E-2</v>
      </c>
      <c r="T242" s="27"/>
      <c r="U242" s="24">
        <v>1725</v>
      </c>
      <c r="V242" s="24">
        <f t="shared" si="259"/>
        <v>1195988306810369.7</v>
      </c>
      <c r="W242" s="63">
        <f t="shared" si="260"/>
        <v>2.1195259959628079E-5</v>
      </c>
      <c r="X242" s="6">
        <f t="shared" si="248"/>
        <v>25349283071.521214</v>
      </c>
    </row>
    <row r="243" spans="4:27" ht="15.75">
      <c r="D243" s="59">
        <f t="shared" si="263"/>
        <v>0.86153351759312435</v>
      </c>
      <c r="E243" s="59">
        <f t="shared" si="264"/>
        <v>-6.4727821846156317E-2</v>
      </c>
      <c r="F243" s="59">
        <f t="shared" si="265"/>
        <v>-3.4623330850699383</v>
      </c>
      <c r="G243" s="58">
        <f t="shared" si="266"/>
        <v>5.1042513171363263E-4</v>
      </c>
      <c r="H243" s="59">
        <f t="shared" si="267"/>
        <v>-0.17026513459152323</v>
      </c>
      <c r="I243" s="59">
        <f t="shared" si="268"/>
        <v>1.18546758069965</v>
      </c>
      <c r="J243" s="58">
        <f t="shared" si="269"/>
        <v>0.45405884614340031</v>
      </c>
      <c r="K243" s="58">
        <f t="shared" si="261"/>
        <v>6.9813369264597075E-6</v>
      </c>
      <c r="L243" s="60">
        <f t="shared" si="270"/>
        <v>58916973878495.461</v>
      </c>
      <c r="M243" s="58">
        <f t="shared" si="271"/>
        <v>4307585276127019.5</v>
      </c>
      <c r="N243" s="59">
        <f t="shared" si="272"/>
        <v>17.414282657589091</v>
      </c>
      <c r="O243" s="74">
        <v>574.24128209163018</v>
      </c>
      <c r="P243" s="61"/>
      <c r="Q243" s="58">
        <f t="shared" si="273"/>
        <v>25895424916.022266</v>
      </c>
      <c r="R243" s="58">
        <v>24106407875.955246</v>
      </c>
      <c r="S243" s="58">
        <f t="shared" si="274"/>
        <v>5.5076198104973394E-3</v>
      </c>
      <c r="T243" s="27"/>
      <c r="U243" s="24">
        <v>1775</v>
      </c>
      <c r="V243" s="24">
        <f t="shared" si="259"/>
        <v>1161302598619862</v>
      </c>
      <c r="W243" s="63">
        <f t="shared" si="260"/>
        <v>2.0598210383300524E-5</v>
      </c>
      <c r="X243" s="6">
        <f t="shared" si="248"/>
        <v>23920755245.045521</v>
      </c>
    </row>
    <row r="244" spans="4:27" ht="15.75">
      <c r="D244" s="59">
        <f t="shared" si="263"/>
        <v>0.86250719583929358</v>
      </c>
      <c r="E244" s="59">
        <f t="shared" si="264"/>
        <v>-6.4237272950037241E-2</v>
      </c>
      <c r="F244" s="59">
        <f t="shared" si="265"/>
        <v>-3.4852832027354448</v>
      </c>
      <c r="G244" s="58">
        <f t="shared" si="266"/>
        <v>4.8415222476761908E-4</v>
      </c>
      <c r="H244" s="59">
        <f t="shared" si="267"/>
        <v>-0.17026513459152323</v>
      </c>
      <c r="I244" s="59">
        <f t="shared" si="268"/>
        <v>1.18546758069965</v>
      </c>
      <c r="J244" s="58">
        <f t="shared" si="269"/>
        <v>0.45405884614340031</v>
      </c>
      <c r="K244" s="58">
        <f t="shared" si="261"/>
        <v>6.8350482321344015E-6</v>
      </c>
      <c r="L244" s="60">
        <f t="shared" si="270"/>
        <v>59412342870042.703</v>
      </c>
      <c r="M244" s="58">
        <f t="shared" si="271"/>
        <v>4208400146169173.5</v>
      </c>
      <c r="N244" s="59">
        <f t="shared" si="272"/>
        <v>17.049379387710324</v>
      </c>
      <c r="O244" s="74">
        <v>586.53161341510668</v>
      </c>
      <c r="P244" s="61"/>
      <c r="Q244" s="58">
        <f t="shared" si="273"/>
        <v>24797684138.672947</v>
      </c>
      <c r="R244" s="58">
        <v>22246140676.982094</v>
      </c>
      <c r="S244" s="58">
        <f t="shared" si="274"/>
        <v>1.3155173556494808E-2</v>
      </c>
      <c r="T244" s="27"/>
      <c r="U244" s="24">
        <v>1825</v>
      </c>
      <c r="V244" s="24">
        <f t="shared" si="259"/>
        <v>1128545182256227.2</v>
      </c>
      <c r="W244" s="63">
        <f t="shared" si="260"/>
        <v>2.0033875852251195E-5</v>
      </c>
      <c r="X244" s="6">
        <f t="shared" si="248"/>
        <v>22609134074.977455</v>
      </c>
    </row>
    <row r="245" spans="4:27" ht="15.75">
      <c r="D245" s="59">
        <f t="shared" si="263"/>
        <v>0.86388524680893763</v>
      </c>
      <c r="E245" s="59">
        <f t="shared" si="264"/>
        <v>-6.3543942691837205E-2</v>
      </c>
      <c r="F245" s="59">
        <f t="shared" si="265"/>
        <v>-3.5182916721710495</v>
      </c>
      <c r="G245" s="58">
        <f t="shared" si="266"/>
        <v>4.4871797016811631E-4</v>
      </c>
      <c r="H245" s="59">
        <f t="shared" si="267"/>
        <v>-0.17026513459152323</v>
      </c>
      <c r="I245" s="59">
        <f t="shared" si="268"/>
        <v>1.18546758069965</v>
      </c>
      <c r="J245" s="58">
        <f t="shared" si="269"/>
        <v>0.45405884614340031</v>
      </c>
      <c r="K245" s="58">
        <f t="shared" si="261"/>
        <v>6.6307945049975266E-6</v>
      </c>
      <c r="L245" s="60">
        <f t="shared" si="270"/>
        <v>60138986747027.172</v>
      </c>
      <c r="M245" s="58">
        <f t="shared" si="271"/>
        <v>4069715030492163.5</v>
      </c>
      <c r="N245" s="59">
        <f t="shared" si="272"/>
        <v>16.539887842509771</v>
      </c>
      <c r="O245" s="74">
        <v>604.59902117949275</v>
      </c>
      <c r="P245" s="61"/>
      <c r="Q245" s="58">
        <f t="shared" si="273"/>
        <v>23301871034.694538</v>
      </c>
      <c r="R245" s="58">
        <v>21386227840.47171</v>
      </c>
      <c r="S245" s="58">
        <f t="shared" si="274"/>
        <v>8.0234446951864963E-3</v>
      </c>
      <c r="T245" s="27"/>
      <c r="U245" s="24"/>
      <c r="V245" s="24"/>
      <c r="W245" s="24" t="s">
        <v>30</v>
      </c>
      <c r="X245" s="58"/>
    </row>
    <row r="246" spans="4:27" ht="15.75">
      <c r="D246" s="59">
        <f t="shared" ref="D246:D250" si="275">10^E246</f>
        <v>0.86495523596666046</v>
      </c>
      <c r="E246" s="59">
        <f t="shared" ref="E246:E250" si="276">LOG(J246)/(1+(F246/(I246-0.14*F246))^2)</f>
        <v>-6.3006367998443141E-2</v>
      </c>
      <c r="F246" s="59">
        <f t="shared" ref="F246:F250" si="277">LOG(G246)+H246</f>
        <v>-3.5443585831472935</v>
      </c>
      <c r="G246" s="58">
        <f t="shared" ref="G246:G250" si="278">M246*K246/L246</f>
        <v>4.225776770695507E-4</v>
      </c>
      <c r="H246" s="59">
        <f t="shared" ref="H246:H250" si="279">-0.4-0.67*LOG(J246)</f>
        <v>-0.17026513459152323</v>
      </c>
      <c r="I246" s="59">
        <f t="shared" ref="I246:I250" si="280">0.75-1.27*LOG(J246)</f>
        <v>1.18546758069965</v>
      </c>
      <c r="J246" s="58">
        <f t="shared" ref="J246:J250" si="281">(1-$B$10)*EXP(-O246/$B$11)+$B$10*EXP(-O246/$B$12)+EXP(-B$13/O246)</f>
        <v>0.45405884614340031</v>
      </c>
      <c r="K246" s="58">
        <f t="shared" si="261"/>
        <v>6.4744374992320972E-6</v>
      </c>
      <c r="L246" s="60">
        <f t="shared" ref="L246:L250" si="282">B$4*O246^B$5*EXP(-B$6/1.987/O246)</f>
        <v>60724661202204.297</v>
      </c>
      <c r="M246" s="58">
        <f t="shared" ref="M246:M250" si="283">$B$7*O246^$B$8*EXP(-$B$9/1.987/O246)</f>
        <v>3963415551498717.5</v>
      </c>
      <c r="N246" s="59">
        <f t="shared" ref="N246:N250" si="284">10000/O246</f>
        <v>16.149870124904179</v>
      </c>
      <c r="O246" s="74">
        <v>619.20002592338699</v>
      </c>
      <c r="P246" s="61"/>
      <c r="Q246" s="58">
        <f t="shared" ref="Q246:Q250" si="285">L246/(1+L246/M246/K246)*D246</f>
        <v>22186142571.628819</v>
      </c>
      <c r="R246" s="58">
        <v>22182749629.020565</v>
      </c>
      <c r="S246" s="58">
        <f>(R246-Q246)^2/R246^2</f>
        <v>2.3394958130269424E-8</v>
      </c>
      <c r="T246" s="27"/>
      <c r="U246" s="24">
        <v>746</v>
      </c>
      <c r="V246" s="24">
        <f>0.4*760</f>
        <v>304</v>
      </c>
      <c r="W246" s="20">
        <f>8.01E-33*6.02E+23*6.02E+23*0.4*101325/8.314/U246/1000000</f>
        <v>18969385161.43512</v>
      </c>
      <c r="X246" s="58"/>
    </row>
    <row r="247" spans="4:27" ht="15.75">
      <c r="D247" s="59">
        <f t="shared" si="275"/>
        <v>0.86503317606251939</v>
      </c>
      <c r="E247" s="59">
        <f t="shared" si="276"/>
        <v>-6.2967235998092064E-2</v>
      </c>
      <c r="F247" s="59">
        <f t="shared" si="277"/>
        <v>-3.5462725863689251</v>
      </c>
      <c r="G247" s="58">
        <f t="shared" si="278"/>
        <v>4.2071940947097569E-4</v>
      </c>
      <c r="H247" s="59">
        <f t="shared" si="279"/>
        <v>-0.17026513459152323</v>
      </c>
      <c r="I247" s="59">
        <f t="shared" si="280"/>
        <v>1.18546758069965</v>
      </c>
      <c r="J247" s="58">
        <f t="shared" si="281"/>
        <v>0.45405884614340031</v>
      </c>
      <c r="K247" s="58">
        <f t="shared" si="261"/>
        <v>6.4631240841811131E-6</v>
      </c>
      <c r="L247" s="60">
        <f t="shared" si="282"/>
        <v>60768077939330.695</v>
      </c>
      <c r="M247" s="58">
        <f t="shared" si="283"/>
        <v>3955720102588858.5</v>
      </c>
      <c r="N247" s="59">
        <f t="shared" si="284"/>
        <v>16.121649884340545</v>
      </c>
      <c r="O247" s="74">
        <v>620.28390839285669</v>
      </c>
      <c r="P247" s="61"/>
      <c r="Q247" s="58">
        <f t="shared" si="285"/>
        <v>22106405629.075733</v>
      </c>
      <c r="R247" s="58">
        <v>25712398503.673664</v>
      </c>
      <c r="S247" s="58">
        <f t="shared" ref="S247:S250" si="286">(R247-Q247)^2/R247^2</f>
        <v>1.9668196912774903E-2</v>
      </c>
      <c r="T247" s="27"/>
      <c r="U247" s="24">
        <v>987</v>
      </c>
      <c r="V247" s="24">
        <f>0.4*760</f>
        <v>304</v>
      </c>
      <c r="W247" s="20">
        <f>6.8E-33*6.02E+23*6.02E+23*0.4*101325/8.314/U247/1000000</f>
        <v>12171702424.518497</v>
      </c>
      <c r="X247" s="58"/>
    </row>
    <row r="248" spans="4:27" ht="15.75">
      <c r="D248" s="59">
        <f t="shared" si="275"/>
        <v>0.86653843472785452</v>
      </c>
      <c r="E248" s="59">
        <f t="shared" si="276"/>
        <v>-6.2212169684011977E-2</v>
      </c>
      <c r="F248" s="59">
        <f t="shared" si="277"/>
        <v>-3.5836522405464417</v>
      </c>
      <c r="G248" s="58">
        <f t="shared" si="278"/>
        <v>3.8602274444995505E-4</v>
      </c>
      <c r="H248" s="59">
        <f t="shared" si="279"/>
        <v>-0.17026513459152323</v>
      </c>
      <c r="I248" s="59">
        <f t="shared" si="280"/>
        <v>1.18546758069965</v>
      </c>
      <c r="J248" s="58">
        <f t="shared" si="281"/>
        <v>0.45405884614340031</v>
      </c>
      <c r="K248" s="58">
        <f t="shared" si="261"/>
        <v>6.2466388243738395E-6</v>
      </c>
      <c r="L248" s="60">
        <f t="shared" si="282"/>
        <v>61627336423592.5</v>
      </c>
      <c r="M248" s="58">
        <f t="shared" si="283"/>
        <v>3808376665952110.5</v>
      </c>
      <c r="N248" s="59">
        <f t="shared" si="284"/>
        <v>15.581647941274714</v>
      </c>
      <c r="O248" s="74">
        <v>641.78064076975375</v>
      </c>
      <c r="P248" s="61"/>
      <c r="Q248" s="58">
        <f t="shared" si="285"/>
        <v>20606607867.562405</v>
      </c>
      <c r="R248" s="58">
        <v>22517999414.053257</v>
      </c>
      <c r="S248" s="58">
        <f t="shared" si="286"/>
        <v>7.2050950571509592E-3</v>
      </c>
      <c r="T248" s="27"/>
      <c r="U248" s="32"/>
      <c r="V248" s="32"/>
      <c r="W248" s="32" t="s">
        <v>57</v>
      </c>
      <c r="X248" s="58"/>
    </row>
    <row r="249" spans="4:27" ht="15.75">
      <c r="D249" s="59">
        <f t="shared" si="275"/>
        <v>0.86753863021239053</v>
      </c>
      <c r="E249" s="59">
        <f t="shared" si="276"/>
        <v>-6.1711177615422497E-2</v>
      </c>
      <c r="F249" s="59">
        <f t="shared" si="277"/>
        <v>-3.6089346796705271</v>
      </c>
      <c r="G249" s="58">
        <f t="shared" si="278"/>
        <v>3.6419204466205655E-4</v>
      </c>
      <c r="H249" s="59">
        <f t="shared" si="279"/>
        <v>-0.17026513459152323</v>
      </c>
      <c r="I249" s="59">
        <f t="shared" si="280"/>
        <v>1.18546758069965</v>
      </c>
      <c r="J249" s="58">
        <f t="shared" si="281"/>
        <v>0.45405884614340031</v>
      </c>
      <c r="K249" s="58">
        <f t="shared" si="261"/>
        <v>6.1048947450917105E-6</v>
      </c>
      <c r="L249" s="60">
        <f t="shared" si="282"/>
        <v>62220789526996.711</v>
      </c>
      <c r="M249" s="58">
        <f t="shared" si="283"/>
        <v>3711827558786845.5</v>
      </c>
      <c r="N249" s="59">
        <f t="shared" si="284"/>
        <v>15.228080782482619</v>
      </c>
      <c r="O249" s="74">
        <v>656.68157024116533</v>
      </c>
      <c r="P249" s="61"/>
      <c r="Q249" s="58">
        <f t="shared" si="285"/>
        <v>19651543051.543201</v>
      </c>
      <c r="R249" s="58">
        <v>23030767945.443443</v>
      </c>
      <c r="S249" s="58">
        <f t="shared" si="286"/>
        <v>2.1528677536834694E-2</v>
      </c>
      <c r="T249" s="27"/>
      <c r="U249" s="74">
        <v>294.75382337064298</v>
      </c>
      <c r="V249" s="32">
        <v>250</v>
      </c>
      <c r="W249" s="58">
        <v>106861934658.22092</v>
      </c>
      <c r="X249" s="58"/>
    </row>
    <row r="250" spans="4:27" ht="15.75">
      <c r="D250" s="59">
        <f t="shared" si="275"/>
        <v>0.87066844055411285</v>
      </c>
      <c r="E250" s="59">
        <f t="shared" si="276"/>
        <v>-6.0147197290349806E-2</v>
      </c>
      <c r="F250" s="59">
        <f t="shared" si="277"/>
        <v>-3.690449829692716</v>
      </c>
      <c r="G250" s="58">
        <f t="shared" si="278"/>
        <v>3.0186676799054553E-4</v>
      </c>
      <c r="H250" s="59">
        <f t="shared" si="279"/>
        <v>-0.17026513459152323</v>
      </c>
      <c r="I250" s="59">
        <f t="shared" si="280"/>
        <v>1.18546758069965</v>
      </c>
      <c r="J250" s="58">
        <f t="shared" si="281"/>
        <v>0.45405884614340031</v>
      </c>
      <c r="K250" s="58">
        <f t="shared" si="261"/>
        <v>5.6720833514906249E-6</v>
      </c>
      <c r="L250" s="60">
        <f t="shared" si="282"/>
        <v>64202187621948.086</v>
      </c>
      <c r="M250" s="58">
        <f t="shared" si="283"/>
        <v>3416823356495083</v>
      </c>
      <c r="N250" s="59">
        <f t="shared" si="284"/>
        <v>14.148473821095571</v>
      </c>
      <c r="O250" s="74">
        <v>706.79001328679431</v>
      </c>
      <c r="P250" s="61"/>
      <c r="Q250" s="58">
        <f t="shared" si="285"/>
        <v>16868903536.927786</v>
      </c>
      <c r="R250" s="58">
        <v>21443393156.333824</v>
      </c>
      <c r="S250" s="58">
        <f t="shared" si="286"/>
        <v>4.5509103080676301E-2</v>
      </c>
      <c r="T250" s="27"/>
      <c r="U250" s="74">
        <v>481.2363222904853</v>
      </c>
      <c r="V250" s="32">
        <v>250</v>
      </c>
      <c r="W250" s="58">
        <v>40551568213.579437</v>
      </c>
      <c r="X250" s="58"/>
    </row>
    <row r="251" spans="4:27" ht="15.75">
      <c r="D251" s="59">
        <f t="shared" ref="D251:D254" si="287">10^E251</f>
        <v>0.86908119905634307</v>
      </c>
      <c r="E251" s="59">
        <f t="shared" ref="E251:E254" si="288">LOG(J251)/(1+(F251/(I251-0.14*F251))^2)</f>
        <v>-6.0939645122488749E-2</v>
      </c>
      <c r="F251" s="59">
        <f t="shared" ref="F251:F254" si="289">LOG(G251)+H251</f>
        <v>-3.6486462278450742</v>
      </c>
      <c r="G251" s="58">
        <f t="shared" ref="G251:G254" si="290">M251*K251/L251</f>
        <v>3.3236777269160414E-4</v>
      </c>
      <c r="H251" s="59">
        <f t="shared" ref="H251:H254" si="291">-0.4-0.67*LOG(J251)</f>
        <v>-0.17026513459152323</v>
      </c>
      <c r="I251" s="59">
        <f t="shared" ref="I251:I254" si="292">0.75-1.27*LOG(J251)</f>
        <v>1.18546758069965</v>
      </c>
      <c r="J251" s="58">
        <f t="shared" ref="J251:J254" si="293">(1-$B$10)*EXP(-O251/$B$11)+$B$10*EXP(-O251/$B$12)+EXP(-B$13/O251)</f>
        <v>0.45405884614340031</v>
      </c>
      <c r="K251" s="58">
        <f t="shared" si="261"/>
        <v>5.8895538731290855E-6</v>
      </c>
      <c r="L251" s="60">
        <f t="shared" ref="L251:L254" si="294">B$4*O251^B$5*EXP(-B$6/1.987/O251)</f>
        <v>63173045444585.898</v>
      </c>
      <c r="M251" s="58">
        <f t="shared" ref="M251:M254" si="295">$B$7*O251^$B$8*EXP(-$B$9/1.987/O251)</f>
        <v>3565072136339435</v>
      </c>
      <c r="N251" s="59">
        <f t="shared" ref="N251:N254" si="296">10000/O251</f>
        <v>14.69093340632948</v>
      </c>
      <c r="O251" s="74">
        <v>680.69194267067974</v>
      </c>
      <c r="P251" s="61"/>
      <c r="Q251" s="58">
        <f t="shared" ref="Q251:Q254" si="297">L251/(1+L251/M251/K251)*D251</f>
        <v>18241760688.631069</v>
      </c>
      <c r="R251" s="58">
        <v>20033500456.816105</v>
      </c>
      <c r="S251" s="58">
        <f>(R251-Q251)^2/R251^2</f>
        <v>7.9990090038372461E-3</v>
      </c>
      <c r="T251" s="27"/>
      <c r="U251" s="74">
        <v>485.70620371080264</v>
      </c>
      <c r="V251" s="32">
        <v>250</v>
      </c>
      <c r="W251" s="58">
        <v>36744237423.890015</v>
      </c>
      <c r="X251" s="58"/>
    </row>
    <row r="252" spans="4:27" ht="15.75">
      <c r="D252" s="59">
        <f t="shared" si="287"/>
        <v>0.87098106650644269</v>
      </c>
      <c r="E252" s="59">
        <f t="shared" si="288"/>
        <v>-5.9991285636593471E-2</v>
      </c>
      <c r="F252" s="59">
        <f t="shared" si="289"/>
        <v>-3.6987993802232331</v>
      </c>
      <c r="G252" s="58">
        <f t="shared" si="290"/>
        <v>2.9611864563277874E-4</v>
      </c>
      <c r="H252" s="59">
        <f t="shared" si="291"/>
        <v>-0.17026513459152323</v>
      </c>
      <c r="I252" s="59">
        <f t="shared" si="292"/>
        <v>1.18546758069965</v>
      </c>
      <c r="J252" s="58">
        <f t="shared" si="293"/>
        <v>0.45405884614340031</v>
      </c>
      <c r="K252" s="58">
        <f t="shared" si="261"/>
        <v>5.6297381614888739E-6</v>
      </c>
      <c r="L252" s="60">
        <f t="shared" si="294"/>
        <v>64411044093610.539</v>
      </c>
      <c r="M252" s="58">
        <f t="shared" si="295"/>
        <v>3387957058334823.5</v>
      </c>
      <c r="N252" s="59">
        <f t="shared" si="296"/>
        <v>14.042847761839646</v>
      </c>
      <c r="O252" s="74">
        <v>712.10627428250189</v>
      </c>
      <c r="P252" s="61"/>
      <c r="Q252" s="58">
        <f t="shared" si="297"/>
        <v>16607575066.581266</v>
      </c>
      <c r="R252" s="58">
        <v>16846562579.34387</v>
      </c>
      <c r="S252" s="58">
        <f t="shared" ref="S252:S254" si="298">(R252-Q252)^2/R252^2</f>
        <v>2.0124626072947453E-4</v>
      </c>
      <c r="T252" s="27"/>
      <c r="U252" s="74">
        <v>507.6398550111478</v>
      </c>
      <c r="V252" s="32">
        <v>250</v>
      </c>
      <c r="W252" s="58">
        <v>32506153327.605309</v>
      </c>
      <c r="X252" s="58"/>
    </row>
    <row r="253" spans="4:27" ht="15.75">
      <c r="D253" s="59">
        <f t="shared" si="287"/>
        <v>0.86998047519689281</v>
      </c>
      <c r="E253" s="59">
        <f t="shared" si="288"/>
        <v>-6.0490494058853907E-2</v>
      </c>
      <c r="F253" s="59">
        <f t="shared" si="289"/>
        <v>-3.6722110355523818</v>
      </c>
      <c r="G253" s="58">
        <f t="shared" si="290"/>
        <v>3.1481404461064668E-4</v>
      </c>
      <c r="H253" s="59">
        <f t="shared" si="291"/>
        <v>-0.17026513459152323</v>
      </c>
      <c r="I253" s="59">
        <f t="shared" si="292"/>
        <v>1.18546758069965</v>
      </c>
      <c r="J253" s="58">
        <f t="shared" si="293"/>
        <v>0.45405884614340031</v>
      </c>
      <c r="K253" s="58">
        <f t="shared" si="261"/>
        <v>5.7658332719887797E-6</v>
      </c>
      <c r="L253" s="60">
        <f t="shared" si="294"/>
        <v>63749791886253.758</v>
      </c>
      <c r="M253" s="58">
        <f t="shared" si="295"/>
        <v>3480733639021115.5</v>
      </c>
      <c r="N253" s="59">
        <f t="shared" si="296"/>
        <v>14.382324103910852</v>
      </c>
      <c r="O253" s="74">
        <v>695.29791762103264</v>
      </c>
      <c r="P253" s="61"/>
      <c r="Q253" s="58">
        <f t="shared" si="297"/>
        <v>17454430199.833778</v>
      </c>
      <c r="R253" s="58">
        <v>16901975490.568996</v>
      </c>
      <c r="S253" s="58">
        <f t="shared" si="298"/>
        <v>1.0683619810254665E-3</v>
      </c>
      <c r="T253" s="27"/>
      <c r="U253" s="74">
        <v>522.30199474515166</v>
      </c>
      <c r="V253" s="32">
        <v>250</v>
      </c>
      <c r="W253" s="58">
        <v>32740947099.516972</v>
      </c>
      <c r="X253" s="58"/>
      <c r="AA253" s="6"/>
    </row>
    <row r="254" spans="4:27" ht="15.75">
      <c r="D254" s="59">
        <f t="shared" si="287"/>
        <v>0.86975306255283191</v>
      </c>
      <c r="E254" s="59">
        <f t="shared" si="288"/>
        <v>-6.0604033350762934E-2</v>
      </c>
      <c r="F254" s="59">
        <f t="shared" si="289"/>
        <v>-3.6662225382940932</v>
      </c>
      <c r="G254" s="58">
        <f t="shared" si="290"/>
        <v>3.1918509015901875E-4</v>
      </c>
      <c r="H254" s="59">
        <f t="shared" si="291"/>
        <v>-0.17026513459152323</v>
      </c>
      <c r="I254" s="59">
        <f t="shared" si="292"/>
        <v>1.18546758069965</v>
      </c>
      <c r="J254" s="58">
        <f t="shared" si="293"/>
        <v>0.45405884614340031</v>
      </c>
      <c r="K254" s="58">
        <f t="shared" si="261"/>
        <v>5.7969942737510349E-6</v>
      </c>
      <c r="L254" s="60">
        <f t="shared" si="294"/>
        <v>63602396620917.875</v>
      </c>
      <c r="M254" s="58">
        <f t="shared" si="295"/>
        <v>3501976324472251.5</v>
      </c>
      <c r="N254" s="59">
        <f t="shared" si="296"/>
        <v>14.460052266624913</v>
      </c>
      <c r="O254" s="74">
        <v>691.56043253597977</v>
      </c>
      <c r="P254" s="61"/>
      <c r="Q254" s="58">
        <f t="shared" si="297"/>
        <v>17651167877.712059</v>
      </c>
      <c r="R254" s="58">
        <v>13784784019.627522</v>
      </c>
      <c r="S254" s="58">
        <f t="shared" si="298"/>
        <v>7.8670155037967704E-2</v>
      </c>
      <c r="T254" s="27"/>
      <c r="U254" s="74">
        <v>543.88647745933167</v>
      </c>
      <c r="V254" s="32">
        <v>250</v>
      </c>
      <c r="W254" s="58">
        <v>28923770378.387711</v>
      </c>
      <c r="X254" s="58"/>
      <c r="AA254" s="6"/>
    </row>
    <row r="255" spans="4:27" ht="15.75">
      <c r="D255" s="78">
        <f t="shared" ref="D255:D277" si="299">10^E255</f>
        <v>0.77188613412090357</v>
      </c>
      <c r="E255" s="78">
        <f t="shared" ref="E255:E267" si="300">LOG(J255)/(1+(F255/(I255-0.14*F255))^2)</f>
        <v>-0.11244676050653118</v>
      </c>
      <c r="F255" s="78">
        <f t="shared" ref="F255:F267" si="301">LOG(G255)+H255</f>
        <v>-2.1224262923378556</v>
      </c>
      <c r="G255" s="77">
        <f t="shared" ref="G255:G267" si="302">M255*K255/L255</f>
        <v>1.1164488796960144E-2</v>
      </c>
      <c r="H255" s="78">
        <f t="shared" ref="H255:H267" si="303">-0.4-0.67*LOG(J255)</f>
        <v>-0.17026513459152323</v>
      </c>
      <c r="I255" s="78">
        <f t="shared" ref="I255:I277" si="304">0.75-1.27*LOG(J255)</f>
        <v>1.18546758069965</v>
      </c>
      <c r="J255" s="77">
        <f t="shared" ref="J255:J267" si="305">(1-$B$10)*EXP(-O255/$B$11)+$B$10*EXP(-O255/$B$12)+EXP(-B$13/O255)</f>
        <v>0.45405884614340031</v>
      </c>
      <c r="K255" s="77">
        <f t="shared" ref="K255:K267" si="306">V272*101325/8.314/O255/1000000</f>
        <v>5.9098171105380782E-4</v>
      </c>
      <c r="L255" s="79">
        <f t="shared" ref="L255:L267" si="307">B$4*O255^B$5*EXP(-B$6/1.987/O255)</f>
        <v>86676224080300.453</v>
      </c>
      <c r="M255" s="77">
        <f t="shared" ref="M255:M267" si="308">$B$7*O255^$B$8*EXP(-$B$9/1.987/O255)</f>
        <v>1637437698337190.2</v>
      </c>
      <c r="N255" s="78">
        <f t="shared" ref="N255:N278" si="309">10000/O255</f>
        <v>7.5414781297134237</v>
      </c>
      <c r="O255" s="75">
        <v>1326</v>
      </c>
      <c r="P255" s="80"/>
      <c r="Q255" s="77">
        <f t="shared" ref="Q255:Q267" si="310">L255/(1+L255/M255/K255)*D255</f>
        <v>738703669284.7467</v>
      </c>
      <c r="R255" s="36">
        <v>886472566580.71167</v>
      </c>
      <c r="S255" s="90">
        <f t="shared" ref="S255:S291" si="311">(R255-Q255)^2/R255^2</f>
        <v>2.7786603543131044E-2</v>
      </c>
      <c r="T255" s="27"/>
      <c r="U255" s="74">
        <v>552.51461352792978</v>
      </c>
      <c r="V255" s="32">
        <v>250</v>
      </c>
      <c r="W255" s="58">
        <v>23575140765.488247</v>
      </c>
      <c r="X255" s="58"/>
      <c r="AA255" s="6"/>
    </row>
    <row r="256" spans="4:27" ht="15.75">
      <c r="D256" s="78">
        <f t="shared" si="299"/>
        <v>0.77214085991702086</v>
      </c>
      <c r="E256" s="78">
        <f t="shared" si="300"/>
        <v>-0.11230346507311843</v>
      </c>
      <c r="F256" s="78">
        <f t="shared" si="301"/>
        <v>-2.124945521864702</v>
      </c>
      <c r="G256" s="77">
        <f t="shared" si="302"/>
        <v>1.1099913968238269E-2</v>
      </c>
      <c r="H256" s="78">
        <f t="shared" si="303"/>
        <v>-0.17026513459152323</v>
      </c>
      <c r="I256" s="78">
        <f t="shared" si="304"/>
        <v>1.18546758069965</v>
      </c>
      <c r="J256" s="77">
        <f t="shared" si="305"/>
        <v>0.45405884614340031</v>
      </c>
      <c r="K256" s="77">
        <f t="shared" si="306"/>
        <v>6.1828559388087828E-4</v>
      </c>
      <c r="L256" s="79">
        <f t="shared" si="307"/>
        <v>88011194457654.984</v>
      </c>
      <c r="M256" s="77">
        <f t="shared" si="308"/>
        <v>1580041159603787</v>
      </c>
      <c r="N256" s="78">
        <f t="shared" si="309"/>
        <v>7.3206442166910692</v>
      </c>
      <c r="O256" s="75">
        <v>1366</v>
      </c>
      <c r="P256" s="80"/>
      <c r="Q256" s="77">
        <f t="shared" si="310"/>
        <v>746036351236.79626</v>
      </c>
      <c r="R256" s="36">
        <v>927428390821.31738</v>
      </c>
      <c r="S256" s="90">
        <f t="shared" si="311"/>
        <v>3.8253896191726568E-2</v>
      </c>
      <c r="T256" s="27"/>
      <c r="U256" s="74">
        <v>574.24128209163018</v>
      </c>
      <c r="V256" s="32">
        <v>250</v>
      </c>
      <c r="W256" s="58">
        <v>24106407875.955246</v>
      </c>
      <c r="X256" s="58"/>
      <c r="AA256" s="6"/>
    </row>
    <row r="257" spans="4:27" ht="15.75">
      <c r="D257" s="78">
        <f t="shared" si="299"/>
        <v>0.77094907410700908</v>
      </c>
      <c r="E257" s="78">
        <f t="shared" si="300"/>
        <v>-0.11297430880348125</v>
      </c>
      <c r="F257" s="78">
        <f t="shared" si="301"/>
        <v>-2.1131965099977186</v>
      </c>
      <c r="G257" s="77">
        <f t="shared" si="302"/>
        <v>1.1404299771890027E-2</v>
      </c>
      <c r="H257" s="78">
        <f t="shared" si="303"/>
        <v>-0.17026513459152323</v>
      </c>
      <c r="I257" s="78">
        <f t="shared" si="304"/>
        <v>1.18546758069965</v>
      </c>
      <c r="J257" s="77">
        <f t="shared" si="305"/>
        <v>0.45405884614340031</v>
      </c>
      <c r="K257" s="77">
        <f t="shared" si="306"/>
        <v>5.5326357148584716E-4</v>
      </c>
      <c r="L257" s="79">
        <f t="shared" si="307"/>
        <v>84446051678216.844</v>
      </c>
      <c r="M257" s="77">
        <f t="shared" si="308"/>
        <v>1740667807396997.7</v>
      </c>
      <c r="N257" s="78">
        <f t="shared" si="309"/>
        <v>7.9365079365079367</v>
      </c>
      <c r="O257" s="75">
        <v>1260</v>
      </c>
      <c r="P257" s="80"/>
      <c r="Q257" s="77">
        <f t="shared" si="310"/>
        <v>734089257725.58936</v>
      </c>
      <c r="R257" s="36">
        <v>1106527142971.6943</v>
      </c>
      <c r="S257" s="90">
        <f t="shared" si="311"/>
        <v>0.11328790897593859</v>
      </c>
      <c r="T257" s="27"/>
      <c r="U257" s="74">
        <v>586.53161341510668</v>
      </c>
      <c r="V257" s="32">
        <v>250</v>
      </c>
      <c r="W257" s="58">
        <v>22246140676.982094</v>
      </c>
      <c r="X257" s="58"/>
      <c r="AA257" s="6"/>
    </row>
    <row r="258" spans="4:27" ht="15.75">
      <c r="D258" s="78">
        <f t="shared" si="299"/>
        <v>0.77302001504937823</v>
      </c>
      <c r="E258" s="78">
        <f t="shared" si="300"/>
        <v>-0.1118092611748616</v>
      </c>
      <c r="F258" s="78">
        <f t="shared" si="301"/>
        <v>-2.1336743106442828</v>
      </c>
      <c r="G258" s="77">
        <f t="shared" si="302"/>
        <v>1.0879046271927359E-2</v>
      </c>
      <c r="H258" s="78">
        <f t="shared" si="303"/>
        <v>-0.17026513459152323</v>
      </c>
      <c r="I258" s="78">
        <f t="shared" si="304"/>
        <v>1.18546758069965</v>
      </c>
      <c r="J258" s="77">
        <f t="shared" si="305"/>
        <v>0.45405884614340031</v>
      </c>
      <c r="K258" s="77">
        <f t="shared" si="306"/>
        <v>5.2920969994285313E-4</v>
      </c>
      <c r="L258" s="79">
        <f t="shared" si="307"/>
        <v>84514147535076.906</v>
      </c>
      <c r="M258" s="77">
        <f t="shared" si="308"/>
        <v>1737370501269879.2</v>
      </c>
      <c r="N258" s="78">
        <f t="shared" si="309"/>
        <v>7.9239302694136295</v>
      </c>
      <c r="O258" s="75">
        <v>1262</v>
      </c>
      <c r="P258" s="80"/>
      <c r="Q258" s="77">
        <f t="shared" si="310"/>
        <v>703091396317.67871</v>
      </c>
      <c r="R258" s="36">
        <v>952577459897.13562</v>
      </c>
      <c r="S258" s="90">
        <f t="shared" si="311"/>
        <v>6.8594924053789294E-2</v>
      </c>
      <c r="T258" s="27"/>
      <c r="U258" s="74">
        <v>604.59902117949275</v>
      </c>
      <c r="V258" s="32">
        <v>250</v>
      </c>
      <c r="W258" s="58">
        <v>21386227840.47171</v>
      </c>
      <c r="X258" s="58"/>
      <c r="AA258" s="6"/>
    </row>
    <row r="259" spans="4:27" ht="15.75">
      <c r="D259" s="78">
        <f t="shared" si="299"/>
        <v>0.76537833276929379</v>
      </c>
      <c r="E259" s="78">
        <f t="shared" si="300"/>
        <v>-0.11612383645686399</v>
      </c>
      <c r="F259" s="78">
        <f t="shared" si="301"/>
        <v>-2.0595143335108506</v>
      </c>
      <c r="G259" s="77">
        <f t="shared" si="302"/>
        <v>1.290478582302822E-2</v>
      </c>
      <c r="H259" s="78">
        <f t="shared" si="303"/>
        <v>-0.17026513459152323</v>
      </c>
      <c r="I259" s="78">
        <f t="shared" si="304"/>
        <v>1.18546758069965</v>
      </c>
      <c r="J259" s="77">
        <f t="shared" si="305"/>
        <v>0.45405884614340031</v>
      </c>
      <c r="K259" s="77">
        <f t="shared" si="306"/>
        <v>6.4223792004330428E-4</v>
      </c>
      <c r="L259" s="79">
        <f t="shared" si="307"/>
        <v>85091648885262.031</v>
      </c>
      <c r="M259" s="77">
        <f t="shared" si="308"/>
        <v>1709786155446230</v>
      </c>
      <c r="N259" s="78">
        <f t="shared" si="309"/>
        <v>7.8186082877247847</v>
      </c>
      <c r="O259" s="75">
        <v>1279</v>
      </c>
      <c r="P259" s="80"/>
      <c r="Q259" s="77">
        <f t="shared" si="310"/>
        <v>829746216735.9657</v>
      </c>
      <c r="R259" s="36">
        <v>1091804464073.6173</v>
      </c>
      <c r="S259" s="90">
        <f t="shared" si="311"/>
        <v>5.7611068869676874E-2</v>
      </c>
      <c r="T259" s="27"/>
      <c r="U259" s="74">
        <v>619.20002592338699</v>
      </c>
      <c r="V259" s="32">
        <v>250</v>
      </c>
      <c r="W259" s="58">
        <v>22182749629.020565</v>
      </c>
      <c r="X259" s="58"/>
      <c r="Z259" s="36"/>
      <c r="AA259" s="6"/>
    </row>
    <row r="260" spans="4:27" ht="15.75">
      <c r="D260" s="78">
        <f t="shared" si="299"/>
        <v>0.7646375031296313</v>
      </c>
      <c r="E260" s="78">
        <f t="shared" si="300"/>
        <v>-0.11654440497926791</v>
      </c>
      <c r="F260" s="78">
        <f t="shared" si="301"/>
        <v>-2.0525237724381773</v>
      </c>
      <c r="G260" s="77">
        <f t="shared" si="302"/>
        <v>1.3114186698471635E-2</v>
      </c>
      <c r="H260" s="78">
        <f t="shared" si="303"/>
        <v>-0.17026513459152323</v>
      </c>
      <c r="I260" s="78">
        <f t="shared" si="304"/>
        <v>1.18546758069965</v>
      </c>
      <c r="J260" s="77">
        <f t="shared" si="305"/>
        <v>0.45405884614340031</v>
      </c>
      <c r="K260" s="77">
        <f t="shared" si="306"/>
        <v>6.6226972156799117E-4</v>
      </c>
      <c r="L260" s="79">
        <f t="shared" si="307"/>
        <v>85464082470025.875</v>
      </c>
      <c r="M260" s="77">
        <f t="shared" si="308"/>
        <v>1692349653056622.7</v>
      </c>
      <c r="N260" s="78">
        <f t="shared" si="309"/>
        <v>7.7519379844961236</v>
      </c>
      <c r="O260" s="75">
        <v>1290</v>
      </c>
      <c r="P260" s="80"/>
      <c r="Q260" s="77">
        <f t="shared" si="310"/>
        <v>845906174082.45972</v>
      </c>
      <c r="R260" s="36">
        <v>1125858526665.585</v>
      </c>
      <c r="S260" s="90">
        <f t="shared" si="311"/>
        <v>6.1830192741177688E-2</v>
      </c>
      <c r="T260" s="27"/>
      <c r="U260" s="74">
        <v>620.28390839285669</v>
      </c>
      <c r="V260" s="32">
        <v>250</v>
      </c>
      <c r="W260" s="58">
        <v>25712398503.673664</v>
      </c>
      <c r="X260" s="58"/>
      <c r="Z260" s="36"/>
      <c r="AA260" s="6"/>
    </row>
    <row r="261" spans="4:27" ht="15.75">
      <c r="D261" s="78">
        <f t="shared" si="299"/>
        <v>0.76592897439021324</v>
      </c>
      <c r="E261" s="78">
        <f t="shared" si="300"/>
        <v>-0.11581150120363194</v>
      </c>
      <c r="F261" s="78">
        <f t="shared" si="301"/>
        <v>-2.0647323322339615</v>
      </c>
      <c r="G261" s="77">
        <f t="shared" si="302"/>
        <v>1.2750664023520914E-2</v>
      </c>
      <c r="H261" s="78">
        <f t="shared" si="303"/>
        <v>-0.17026513459152323</v>
      </c>
      <c r="I261" s="78">
        <f t="shared" si="304"/>
        <v>1.18546758069965</v>
      </c>
      <c r="J261" s="77">
        <f t="shared" si="305"/>
        <v>0.45405884614340031</v>
      </c>
      <c r="K261" s="77">
        <f t="shared" si="306"/>
        <v>6.4476440492989434E-4</v>
      </c>
      <c r="L261" s="79">
        <f t="shared" si="307"/>
        <v>85497891935785.906</v>
      </c>
      <c r="M261" s="77">
        <f t="shared" si="308"/>
        <v>1690780208177028</v>
      </c>
      <c r="N261" s="78">
        <f t="shared" si="309"/>
        <v>7.7459333849728891</v>
      </c>
      <c r="O261" s="75">
        <v>1291</v>
      </c>
      <c r="P261" s="80"/>
      <c r="Q261" s="77">
        <f t="shared" si="310"/>
        <v>824468697139.75464</v>
      </c>
      <c r="R261" s="36">
        <v>1096099488380.8204</v>
      </c>
      <c r="S261" s="90">
        <f t="shared" si="311"/>
        <v>6.1412679614197926E-2</v>
      </c>
      <c r="T261" s="27"/>
      <c r="U261" s="74">
        <v>641.78064076975375</v>
      </c>
      <c r="V261" s="32">
        <v>250</v>
      </c>
      <c r="W261" s="58">
        <v>22517999414.053257</v>
      </c>
      <c r="Z261" s="36"/>
      <c r="AA261" s="6"/>
    </row>
    <row r="262" spans="4:27" ht="15.75">
      <c r="D262" s="78">
        <f t="shared" si="299"/>
        <v>0.7670180809391377</v>
      </c>
      <c r="E262" s="78">
        <f t="shared" si="300"/>
        <v>-0.11519439829412029</v>
      </c>
      <c r="F262" s="78">
        <f t="shared" si="301"/>
        <v>-2.0751089587749392</v>
      </c>
      <c r="G262" s="77">
        <f t="shared" si="302"/>
        <v>1.244962229793959E-2</v>
      </c>
      <c r="H262" s="78">
        <f t="shared" si="303"/>
        <v>-0.17026513459152323</v>
      </c>
      <c r="I262" s="78">
        <f t="shared" si="304"/>
        <v>1.18546758069965</v>
      </c>
      <c r="J262" s="77">
        <f t="shared" si="305"/>
        <v>0.45405884614340031</v>
      </c>
      <c r="K262" s="77">
        <f t="shared" si="306"/>
        <v>6.4967904245072892E-4</v>
      </c>
      <c r="L262" s="79">
        <f t="shared" si="307"/>
        <v>86306932493043.25</v>
      </c>
      <c r="M262" s="77">
        <f t="shared" si="308"/>
        <v>1653876208133413</v>
      </c>
      <c r="N262" s="78">
        <f t="shared" si="309"/>
        <v>7.6045627376425857</v>
      </c>
      <c r="O262" s="75">
        <v>1315</v>
      </c>
      <c r="P262" s="80"/>
      <c r="Q262" s="77">
        <f t="shared" si="310"/>
        <v>814018051989.0885</v>
      </c>
      <c r="R262" s="36">
        <v>1169422276411.312</v>
      </c>
      <c r="S262" s="90">
        <f t="shared" si="311"/>
        <v>9.23639391066189E-2</v>
      </c>
      <c r="T262" s="27"/>
      <c r="U262" s="74">
        <v>656.68157024116533</v>
      </c>
      <c r="V262" s="32">
        <v>250</v>
      </c>
      <c r="W262" s="58">
        <v>23030767945.443443</v>
      </c>
      <c r="Z262" s="36"/>
      <c r="AA262" s="6"/>
    </row>
    <row r="263" spans="4:27" ht="15.75">
      <c r="D263" s="78">
        <f t="shared" si="299"/>
        <v>0.76936643479054712</v>
      </c>
      <c r="E263" s="78">
        <f t="shared" si="300"/>
        <v>-0.11386676461514644</v>
      </c>
      <c r="F263" s="78">
        <f t="shared" si="301"/>
        <v>-2.0977409477502613</v>
      </c>
      <c r="G263" s="77">
        <f t="shared" si="302"/>
        <v>1.1817461248247483E-2</v>
      </c>
      <c r="H263" s="78">
        <f t="shared" si="303"/>
        <v>-0.17026513459152323</v>
      </c>
      <c r="I263" s="78">
        <f t="shared" si="304"/>
        <v>1.18546758069965</v>
      </c>
      <c r="J263" s="77">
        <f t="shared" si="305"/>
        <v>0.45405884614340031</v>
      </c>
      <c r="K263" s="77">
        <f t="shared" si="306"/>
        <v>6.2635427228094581E-4</v>
      </c>
      <c r="L263" s="79">
        <f t="shared" si="307"/>
        <v>86709749102452.641</v>
      </c>
      <c r="M263" s="77">
        <f t="shared" si="308"/>
        <v>1635957708298157.2</v>
      </c>
      <c r="N263" s="78">
        <f t="shared" si="309"/>
        <v>7.5357950263752826</v>
      </c>
      <c r="O263" s="75">
        <v>1327</v>
      </c>
      <c r="P263" s="80"/>
      <c r="Q263" s="77">
        <f t="shared" si="310"/>
        <v>779153779929.96497</v>
      </c>
      <c r="R263" s="36">
        <v>1252708544561.8916</v>
      </c>
      <c r="S263" s="90">
        <f t="shared" si="311"/>
        <v>0.14290266951685532</v>
      </c>
      <c r="U263" s="74">
        <v>706.79001328679431</v>
      </c>
      <c r="V263" s="32">
        <v>250</v>
      </c>
      <c r="W263" s="58">
        <v>21443393156.333824</v>
      </c>
      <c r="Z263" s="36"/>
      <c r="AA263" s="6"/>
    </row>
    <row r="264" spans="4:27" ht="15.75">
      <c r="D264" s="78">
        <f t="shared" si="299"/>
        <v>0.77247946326414574</v>
      </c>
      <c r="E264" s="78">
        <f t="shared" si="300"/>
        <v>-0.1121130576760916</v>
      </c>
      <c r="F264" s="78">
        <f t="shared" si="301"/>
        <v>-2.1283011279649031</v>
      </c>
      <c r="G264" s="77">
        <f t="shared" si="302"/>
        <v>1.1014480201643122E-2</v>
      </c>
      <c r="H264" s="78">
        <f t="shared" si="303"/>
        <v>-0.17026513459152323</v>
      </c>
      <c r="I264" s="78">
        <f t="shared" si="304"/>
        <v>1.18546758069965</v>
      </c>
      <c r="J264" s="77">
        <f t="shared" si="305"/>
        <v>0.45405884614340031</v>
      </c>
      <c r="K264" s="77">
        <f t="shared" si="306"/>
        <v>5.9666864625932162E-4</v>
      </c>
      <c r="L264" s="79">
        <f t="shared" si="307"/>
        <v>87278485534244.781</v>
      </c>
      <c r="M264" s="77">
        <f t="shared" si="308"/>
        <v>1611157477392446.7</v>
      </c>
      <c r="N264" s="78">
        <f t="shared" si="309"/>
        <v>7.4404761904761907</v>
      </c>
      <c r="O264" s="75">
        <v>1344</v>
      </c>
      <c r="P264" s="80"/>
      <c r="Q264" s="77">
        <f t="shared" si="310"/>
        <v>734515178690.77917</v>
      </c>
      <c r="R264" s="36">
        <v>1193337292518.6433</v>
      </c>
      <c r="S264" s="90">
        <f t="shared" si="311"/>
        <v>0.14782989117650186</v>
      </c>
      <c r="U264" s="74">
        <v>680.69194267067974</v>
      </c>
      <c r="V264" s="32">
        <v>250</v>
      </c>
      <c r="W264" s="58">
        <v>20033500456.816105</v>
      </c>
      <c r="Z264" s="36"/>
      <c r="AA264" s="6"/>
    </row>
    <row r="265" spans="4:27" ht="15.75">
      <c r="D265" s="78">
        <f t="shared" si="299"/>
        <v>0.74111535397823447</v>
      </c>
      <c r="E265" s="78">
        <f t="shared" si="300"/>
        <v>-0.13011418919046089</v>
      </c>
      <c r="F265" s="78">
        <f t="shared" si="301"/>
        <v>-1.8465401389796938</v>
      </c>
      <c r="G265" s="77">
        <f t="shared" si="302"/>
        <v>2.1072933449555048E-2</v>
      </c>
      <c r="H265" s="78">
        <f t="shared" si="303"/>
        <v>-0.17026513459152323</v>
      </c>
      <c r="I265" s="78">
        <f t="shared" si="304"/>
        <v>1.18546758069965</v>
      </c>
      <c r="J265" s="77">
        <f t="shared" si="305"/>
        <v>0.45405884614340031</v>
      </c>
      <c r="K265" s="77">
        <f t="shared" si="306"/>
        <v>1.101114692469508E-3</v>
      </c>
      <c r="L265" s="79">
        <f t="shared" si="307"/>
        <v>86340543672543.953</v>
      </c>
      <c r="M265" s="77">
        <f t="shared" si="308"/>
        <v>1652369678883659</v>
      </c>
      <c r="N265" s="78">
        <f t="shared" si="309"/>
        <v>7.598784194528875</v>
      </c>
      <c r="O265" s="75">
        <v>1316</v>
      </c>
      <c r="P265" s="80"/>
      <c r="Q265" s="77">
        <f t="shared" si="310"/>
        <v>1320592484418.2441</v>
      </c>
      <c r="R265" s="36">
        <v>1651672038704.262</v>
      </c>
      <c r="S265" s="90">
        <f t="shared" si="311"/>
        <v>4.0180662251069671E-2</v>
      </c>
      <c r="U265" s="74">
        <v>712.10627428250189</v>
      </c>
      <c r="V265" s="32">
        <v>250</v>
      </c>
      <c r="W265" s="58">
        <v>16846562579.34387</v>
      </c>
      <c r="Z265" s="36"/>
      <c r="AA265" s="6"/>
    </row>
    <row r="266" spans="4:27" ht="15.75">
      <c r="D266" s="78">
        <f t="shared" si="299"/>
        <v>0.74509989782041519</v>
      </c>
      <c r="E266" s="78">
        <f t="shared" si="300"/>
        <v>-0.12778549615956503</v>
      </c>
      <c r="F266" s="78">
        <f t="shared" si="301"/>
        <v>-1.8794324912409031</v>
      </c>
      <c r="G266" s="77">
        <f t="shared" si="302"/>
        <v>1.9535864904355826E-2</v>
      </c>
      <c r="H266" s="78">
        <f t="shared" si="303"/>
        <v>-0.17026513459152323</v>
      </c>
      <c r="I266" s="78">
        <f t="shared" si="304"/>
        <v>1.18546758069965</v>
      </c>
      <c r="J266" s="77">
        <f t="shared" si="305"/>
        <v>0.45405884614340031</v>
      </c>
      <c r="K266" s="77">
        <f t="shared" si="306"/>
        <v>1.0421400622416981E-3</v>
      </c>
      <c r="L266" s="79">
        <f t="shared" si="307"/>
        <v>86877257325100.828</v>
      </c>
      <c r="M266" s="77">
        <f t="shared" si="308"/>
        <v>1628593337745132.7</v>
      </c>
      <c r="N266" s="78">
        <f t="shared" si="309"/>
        <v>7.5075075075075075</v>
      </c>
      <c r="O266" s="75">
        <v>1332</v>
      </c>
      <c r="P266" s="80"/>
      <c r="Q266" s="77">
        <f t="shared" si="310"/>
        <v>1240368536613.1472</v>
      </c>
      <c r="R266" s="36">
        <v>1563210093362.5471</v>
      </c>
      <c r="S266" s="90">
        <f t="shared" si="311"/>
        <v>4.2652467875969068E-2</v>
      </c>
      <c r="U266" s="74">
        <v>695.29791762103264</v>
      </c>
      <c r="V266" s="32">
        <v>250</v>
      </c>
      <c r="W266" s="58">
        <v>16901975490.568996</v>
      </c>
      <c r="Z266" s="36"/>
      <c r="AA266" s="6"/>
    </row>
    <row r="267" spans="4:27" ht="15.75">
      <c r="D267" s="78">
        <f t="shared" si="299"/>
        <v>0.75048077867848462</v>
      </c>
      <c r="E267" s="78">
        <f t="shared" si="300"/>
        <v>-0.12466042643306122</v>
      </c>
      <c r="F267" s="78">
        <f t="shared" si="301"/>
        <v>-1.9250704517491641</v>
      </c>
      <c r="G267" s="77">
        <f t="shared" si="302"/>
        <v>1.7587118217292533E-2</v>
      </c>
      <c r="H267" s="78">
        <f t="shared" si="303"/>
        <v>-0.17026513459152323</v>
      </c>
      <c r="I267" s="78">
        <f t="shared" si="304"/>
        <v>1.18546758069965</v>
      </c>
      <c r="J267" s="77">
        <f t="shared" si="305"/>
        <v>0.45405884614340031</v>
      </c>
      <c r="K267" s="77">
        <f t="shared" si="306"/>
        <v>9.9198745741282566E-4</v>
      </c>
      <c r="L267" s="79">
        <f t="shared" si="307"/>
        <v>88343026035662.953</v>
      </c>
      <c r="M267" s="77">
        <f t="shared" si="308"/>
        <v>1566248878402873.7</v>
      </c>
      <c r="N267" s="78">
        <f t="shared" si="309"/>
        <v>7.2674418604651159</v>
      </c>
      <c r="O267" s="75">
        <v>1376</v>
      </c>
      <c r="P267" s="80"/>
      <c r="Q267" s="77">
        <f t="shared" si="310"/>
        <v>1145868885833.842</v>
      </c>
      <c r="R267" s="36">
        <v>1487981186119.2385</v>
      </c>
      <c r="S267" s="90">
        <f t="shared" si="311"/>
        <v>5.2861867037355875E-2</v>
      </c>
      <c r="U267" s="74">
        <v>691.56043253597977</v>
      </c>
      <c r="V267" s="32">
        <v>250</v>
      </c>
      <c r="W267" s="58">
        <v>13784784019.627522</v>
      </c>
      <c r="Z267" s="36"/>
    </row>
    <row r="268" spans="4:27" ht="15.75">
      <c r="D268" s="84">
        <f t="shared" si="299"/>
        <v>0.793059310725586</v>
      </c>
      <c r="E268" s="84">
        <f t="shared" ref="E268:E274" si="312">LOG(J268)/(1+(F268/(I268-0.14*F268))^2)</f>
        <v>-0.1006943317774546</v>
      </c>
      <c r="F268" s="84">
        <f t="shared" ref="F268:F274" si="313">LOG(G268)+H268</f>
        <v>-2.3484167383445453</v>
      </c>
      <c r="G268" s="83">
        <f t="shared" ref="G268:G274" si="314">M268*K268/L268</f>
        <v>6.6351141104754874E-3</v>
      </c>
      <c r="H268" s="84">
        <f t="shared" ref="H268:H274" si="315">-0.4-0.67*LOG(J268)</f>
        <v>-0.17026513459152323</v>
      </c>
      <c r="I268" s="84">
        <f t="shared" si="304"/>
        <v>1.18546758069965</v>
      </c>
      <c r="J268" s="83">
        <f t="shared" ref="J268:J274" si="316">(1-$B$10)*EXP(-O268/$B$11)+$B$10*EXP(-O268/$B$12)+EXP(-B$13/O268)</f>
        <v>0.45405884614340031</v>
      </c>
      <c r="K268" s="83">
        <v>3.1712283466417109E-4</v>
      </c>
      <c r="L268" s="85">
        <f t="shared" ref="L268:L274" si="317">B$4*O268^B$5*EXP(-B$6/1.987/O268)</f>
        <v>84070938923052.75</v>
      </c>
      <c r="M268" s="83">
        <f t="shared" ref="M268:M274" si="318">$B$7*O268^$B$8*EXP(-$B$9/1.987/O268)</f>
        <v>1759003805954227.5</v>
      </c>
      <c r="N268" s="84">
        <f t="shared" si="309"/>
        <v>8.0064051240992793</v>
      </c>
      <c r="O268" s="81">
        <v>1249</v>
      </c>
      <c r="P268" s="86"/>
      <c r="Q268" s="83">
        <f t="shared" ref="Q268:Q274" si="319">L268/(1+L268/M268/K268)*D268</f>
        <v>439468636763.75458</v>
      </c>
      <c r="R268" s="53">
        <v>488341145704.54272</v>
      </c>
      <c r="S268" s="106">
        <f t="shared" si="311"/>
        <v>1.0015730586655527E-2</v>
      </c>
      <c r="U268" s="32"/>
      <c r="V268" s="32"/>
      <c r="W268" s="58"/>
      <c r="Z268" s="36"/>
    </row>
    <row r="269" spans="4:27" ht="15.75">
      <c r="D269" s="84">
        <f t="shared" si="299"/>
        <v>0.79243900882970841</v>
      </c>
      <c r="E269" s="84">
        <f t="shared" si="312"/>
        <v>-0.10103415390267036</v>
      </c>
      <c r="F269" s="84">
        <f t="shared" si="313"/>
        <v>-2.3412708564613034</v>
      </c>
      <c r="G269" s="83">
        <f t="shared" si="314"/>
        <v>6.7451914078760335E-3</v>
      </c>
      <c r="H269" s="84">
        <f t="shared" si="315"/>
        <v>-0.17026513459152323</v>
      </c>
      <c r="I269" s="84">
        <f t="shared" si="304"/>
        <v>1.18546758069965</v>
      </c>
      <c r="J269" s="83">
        <f t="shared" si="316"/>
        <v>0.45405884614340031</v>
      </c>
      <c r="K269" s="83">
        <v>3.1844168794183152E-4</v>
      </c>
      <c r="L269" s="85">
        <f t="shared" si="317"/>
        <v>83763287678588.391</v>
      </c>
      <c r="M269" s="83">
        <f t="shared" si="318"/>
        <v>1774263325875439.7</v>
      </c>
      <c r="N269" s="84">
        <f t="shared" si="309"/>
        <v>8.064516129032258</v>
      </c>
      <c r="O269" s="81">
        <v>1240</v>
      </c>
      <c r="P269" s="86"/>
      <c r="Q269" s="83">
        <f t="shared" si="319"/>
        <v>444727797023.01007</v>
      </c>
      <c r="R269" s="53">
        <v>493041465837.65759</v>
      </c>
      <c r="S269" s="106">
        <f t="shared" si="311"/>
        <v>9.6022529887968659E-3</v>
      </c>
      <c r="W269" s="58"/>
      <c r="Z269" s="36"/>
    </row>
    <row r="270" spans="4:27" ht="15.75">
      <c r="D270" s="84">
        <f t="shared" si="299"/>
        <v>0.79530328123852034</v>
      </c>
      <c r="E270" s="84">
        <f t="shared" si="312"/>
        <v>-9.9467225744347701E-2</v>
      </c>
      <c r="F270" s="84">
        <f t="shared" si="313"/>
        <v>-2.3745629096792866</v>
      </c>
      <c r="G270" s="83">
        <f t="shared" si="314"/>
        <v>6.2474418848891388E-3</v>
      </c>
      <c r="H270" s="84">
        <f t="shared" si="315"/>
        <v>-0.17026513459152323</v>
      </c>
      <c r="I270" s="84">
        <f t="shared" si="304"/>
        <v>1.18546758069965</v>
      </c>
      <c r="J270" s="83">
        <f t="shared" si="316"/>
        <v>0.45405884614340031</v>
      </c>
      <c r="K270" s="83">
        <v>3.0104024604013583E-4</v>
      </c>
      <c r="L270" s="85">
        <f t="shared" si="317"/>
        <v>84275668920579.984</v>
      </c>
      <c r="M270" s="83">
        <f t="shared" si="318"/>
        <v>1748959983979302.5</v>
      </c>
      <c r="N270" s="84">
        <f t="shared" si="309"/>
        <v>7.9681274900398407</v>
      </c>
      <c r="O270" s="81">
        <v>1255</v>
      </c>
      <c r="P270" s="86"/>
      <c r="Q270" s="83">
        <f t="shared" si="319"/>
        <v>416133249897.96539</v>
      </c>
      <c r="R270" s="53">
        <v>459173604316.15625</v>
      </c>
      <c r="S270" s="106">
        <f t="shared" si="311"/>
        <v>8.7861345268846307E-3</v>
      </c>
      <c r="W270" s="6" t="s">
        <v>58</v>
      </c>
      <c r="Z270" s="36"/>
    </row>
    <row r="271" spans="4:27" ht="15.75">
      <c r="D271" s="84">
        <f t="shared" si="299"/>
        <v>0.79526767056773495</v>
      </c>
      <c r="E271" s="84">
        <f t="shared" si="312"/>
        <v>-9.9486672242856899E-2</v>
      </c>
      <c r="F271" s="84">
        <f t="shared" si="313"/>
        <v>-2.3741443153390516</v>
      </c>
      <c r="G271" s="83">
        <f t="shared" si="314"/>
        <v>6.2534663789363468E-3</v>
      </c>
      <c r="H271" s="84">
        <f t="shared" si="315"/>
        <v>-0.17026513459152323</v>
      </c>
      <c r="I271" s="84">
        <f t="shared" si="304"/>
        <v>1.18546758069965</v>
      </c>
      <c r="J271" s="83">
        <f t="shared" si="316"/>
        <v>0.45405884614340031</v>
      </c>
      <c r="K271" s="83">
        <v>3.0419900635401232E-4</v>
      </c>
      <c r="L271" s="85">
        <f t="shared" si="317"/>
        <v>84514147535076.906</v>
      </c>
      <c r="M271" s="83">
        <f t="shared" si="318"/>
        <v>1737370501269879.2</v>
      </c>
      <c r="N271" s="84">
        <f t="shared" si="309"/>
        <v>7.9239302694136295</v>
      </c>
      <c r="O271" s="81">
        <v>1262</v>
      </c>
      <c r="P271" s="86"/>
      <c r="Q271" s="83">
        <f t="shared" si="319"/>
        <v>417692014854.46539</v>
      </c>
      <c r="R271" s="53">
        <v>450575759424.74725</v>
      </c>
      <c r="S271" s="106">
        <f t="shared" si="311"/>
        <v>5.3263154696198125E-3</v>
      </c>
      <c r="V271" t="s">
        <v>59</v>
      </c>
      <c r="W271" s="6" t="s">
        <v>60</v>
      </c>
      <c r="Y271" t="s">
        <v>16</v>
      </c>
      <c r="Z271" s="36"/>
    </row>
    <row r="272" spans="4:27" ht="15.75">
      <c r="D272" s="84">
        <f t="shared" si="299"/>
        <v>0.811050743519383</v>
      </c>
      <c r="E272" s="84">
        <f t="shared" si="312"/>
        <v>-9.0951973235142258E-2</v>
      </c>
      <c r="F272" s="84">
        <f t="shared" si="313"/>
        <v>-2.5723889391170629</v>
      </c>
      <c r="G272" s="83">
        <f t="shared" si="314"/>
        <v>3.9616508319619661E-3</v>
      </c>
      <c r="H272" s="84">
        <f t="shared" si="315"/>
        <v>-0.17026513459152323</v>
      </c>
      <c r="I272" s="84">
        <f t="shared" si="304"/>
        <v>1.18546758069965</v>
      </c>
      <c r="J272" s="83">
        <f t="shared" si="316"/>
        <v>0.45405884614340031</v>
      </c>
      <c r="K272" s="83">
        <v>1.7292754325169528E-4</v>
      </c>
      <c r="L272" s="85">
        <f t="shared" si="317"/>
        <v>81833767126844.406</v>
      </c>
      <c r="M272" s="83">
        <f t="shared" si="318"/>
        <v>1874755203968738.7</v>
      </c>
      <c r="N272" s="84">
        <f t="shared" si="309"/>
        <v>8.4459459459459456</v>
      </c>
      <c r="O272" s="81">
        <v>1184</v>
      </c>
      <c r="P272" s="86"/>
      <c r="Q272" s="83">
        <f t="shared" si="319"/>
        <v>261902498859.03952</v>
      </c>
      <c r="R272" s="53">
        <v>281797888476.36108</v>
      </c>
      <c r="S272" s="106">
        <f t="shared" si="311"/>
        <v>4.9845898381322504E-3</v>
      </c>
      <c r="U272" s="75">
        <v>1326</v>
      </c>
      <c r="V272" s="76">
        <v>64.3</v>
      </c>
      <c r="W272" s="77">
        <v>1500000000000000</v>
      </c>
      <c r="X272" s="77">
        <f t="shared" ref="X272:X284" si="320">V272*101325/8.314/U272/1000000</f>
        <v>5.9098171105380782E-4</v>
      </c>
      <c r="Y272" s="77">
        <f t="shared" ref="Y272:Y284" si="321">W272*X272</f>
        <v>886472566580.71167</v>
      </c>
      <c r="Z272" s="36"/>
    </row>
    <row r="273" spans="4:26" ht="15.75">
      <c r="D273" s="84">
        <f t="shared" si="299"/>
        <v>0.81173457652949921</v>
      </c>
      <c r="E273" s="84">
        <f t="shared" si="312"/>
        <v>-9.05859544934806E-2</v>
      </c>
      <c r="F273" s="84">
        <f t="shared" si="313"/>
        <v>-2.5816058576454037</v>
      </c>
      <c r="G273" s="83">
        <f t="shared" si="314"/>
        <v>3.8784596444174473E-3</v>
      </c>
      <c r="H273" s="84">
        <f t="shared" si="315"/>
        <v>-0.17026513459152323</v>
      </c>
      <c r="I273" s="84">
        <f t="shared" si="304"/>
        <v>1.18546758069965</v>
      </c>
      <c r="J273" s="83">
        <f t="shared" si="316"/>
        <v>0.45405884614340031</v>
      </c>
      <c r="K273" s="83">
        <v>1.722114871719781E-4</v>
      </c>
      <c r="L273" s="85">
        <f t="shared" si="317"/>
        <v>82249474377791.234</v>
      </c>
      <c r="M273" s="83">
        <f t="shared" si="318"/>
        <v>1852380885778201</v>
      </c>
      <c r="N273" s="84">
        <f t="shared" si="309"/>
        <v>8.3612040133779271</v>
      </c>
      <c r="O273" s="81">
        <v>1196</v>
      </c>
      <c r="P273" s="86"/>
      <c r="Q273" s="83">
        <f t="shared" si="319"/>
        <v>257943933365.33325</v>
      </c>
      <c r="R273" s="53">
        <v>277598309549.3382</v>
      </c>
      <c r="S273" s="106">
        <f t="shared" si="311"/>
        <v>5.012852132125066E-3</v>
      </c>
      <c r="U273" s="75">
        <v>1366</v>
      </c>
      <c r="V273" s="76">
        <v>69.3</v>
      </c>
      <c r="W273" s="77">
        <v>1500000000000000</v>
      </c>
      <c r="X273" s="77">
        <f t="shared" si="320"/>
        <v>6.1828559388087828E-4</v>
      </c>
      <c r="Y273" s="77">
        <f t="shared" si="321"/>
        <v>927428390821.31738</v>
      </c>
      <c r="Z273" s="36"/>
    </row>
    <row r="274" spans="4:26" ht="15.75">
      <c r="D274" s="84">
        <f t="shared" si="299"/>
        <v>0.81287921393887341</v>
      </c>
      <c r="E274" s="84">
        <f t="shared" si="312"/>
        <v>-8.9973981610025386E-2</v>
      </c>
      <c r="F274" s="84">
        <f t="shared" si="313"/>
        <v>-2.5971615022586416</v>
      </c>
      <c r="G274" s="83">
        <f t="shared" si="314"/>
        <v>3.7419987003981491E-3</v>
      </c>
      <c r="H274" s="84">
        <f t="shared" si="315"/>
        <v>-0.17026513459152323</v>
      </c>
      <c r="I274" s="84">
        <f t="shared" si="304"/>
        <v>1.18546758069965</v>
      </c>
      <c r="J274" s="83">
        <f t="shared" si="316"/>
        <v>0.45405884614340031</v>
      </c>
      <c r="K274" s="83">
        <v>1.699380681994107E-4</v>
      </c>
      <c r="L274" s="85">
        <f t="shared" si="317"/>
        <v>82801839163799.094</v>
      </c>
      <c r="M274" s="83">
        <f t="shared" si="318"/>
        <v>1823278196724771.5</v>
      </c>
      <c r="N274" s="84">
        <f t="shared" si="309"/>
        <v>8.2508250825082516</v>
      </c>
      <c r="O274" s="81">
        <v>1212</v>
      </c>
      <c r="P274" s="86"/>
      <c r="Q274" s="83">
        <f t="shared" si="319"/>
        <v>250927082802.94351</v>
      </c>
      <c r="R274" s="53">
        <v>258835101844.46097</v>
      </c>
      <c r="S274" s="106">
        <f t="shared" si="311"/>
        <v>9.3344571697506231E-4</v>
      </c>
      <c r="U274" s="75">
        <v>1260</v>
      </c>
      <c r="V274" s="76">
        <v>57.2</v>
      </c>
      <c r="W274" s="77">
        <v>2000000000000000</v>
      </c>
      <c r="X274" s="77">
        <f t="shared" si="320"/>
        <v>5.5326357148584716E-4</v>
      </c>
      <c r="Y274" s="77">
        <f t="shared" si="321"/>
        <v>1106527142971.6943</v>
      </c>
      <c r="Z274" s="36"/>
    </row>
    <row r="275" spans="4:26" ht="15.75">
      <c r="D275" s="84">
        <f t="shared" si="299"/>
        <v>0.81079401933517459</v>
      </c>
      <c r="E275" s="84">
        <f t="shared" ref="E275:E277" si="322">LOG(J275)/(1+(F275/(I275-0.14*F275))^2)</f>
        <v>-9.1089463456225789E-2</v>
      </c>
      <c r="F275" s="84">
        <f t="shared" ref="F275:F277" si="323">LOG(G275)+H275</f>
        <v>-2.5689433139764777</v>
      </c>
      <c r="G275" s="83">
        <f t="shared" ref="G275:G277" si="324">M275*K275/L275</f>
        <v>3.9932069711753589E-3</v>
      </c>
      <c r="H275" s="84">
        <f t="shared" ref="H275:H277" si="325">-0.4-0.67*LOG(J275)</f>
        <v>-0.17026513459152323</v>
      </c>
      <c r="I275" s="84">
        <f t="shared" si="304"/>
        <v>1.18546758069965</v>
      </c>
      <c r="J275" s="83">
        <f t="shared" ref="J275:J277" si="326">(1-$B$10)*EXP(-O275/$B$11)+$B$10*EXP(-O275/$B$12)+EXP(-B$13/O275)</f>
        <v>0.45405884614340031</v>
      </c>
      <c r="K275" s="83">
        <v>1.7730650158535023E-4</v>
      </c>
      <c r="L275" s="85">
        <f t="shared" ref="L275:L285" si="327">B$4*O275^B$5*EXP(-B$6/1.987/O275)</f>
        <v>82249474377791.234</v>
      </c>
      <c r="M275" s="83">
        <f t="shared" ref="M275:M285" si="328">$B$7*O275^$B$8*EXP(-$B$9/1.987/O275)</f>
        <v>1852380885778201</v>
      </c>
      <c r="N275" s="84">
        <f t="shared" si="309"/>
        <v>8.3612040133779271</v>
      </c>
      <c r="O275" s="81">
        <v>1196</v>
      </c>
      <c r="P275" s="86"/>
      <c r="Q275" s="83">
        <f t="shared" ref="Q275:Q285" si="329">L275/(1+L275/M275/K275)*D275</f>
        <v>265237370650.78491</v>
      </c>
      <c r="R275" s="53">
        <v>276105387645.50293</v>
      </c>
      <c r="S275" s="106">
        <f t="shared" si="311"/>
        <v>1.5493547056728144E-3</v>
      </c>
      <c r="U275" s="75">
        <v>1262</v>
      </c>
      <c r="V275" s="76">
        <v>54.8</v>
      </c>
      <c r="W275" s="77">
        <v>1800000000000000</v>
      </c>
      <c r="X275" s="77">
        <f t="shared" si="320"/>
        <v>5.2920969994285313E-4</v>
      </c>
      <c r="Y275" s="77">
        <f t="shared" si="321"/>
        <v>952577459897.13562</v>
      </c>
      <c r="Z275" s="36"/>
    </row>
    <row r="276" spans="4:26" ht="15.75">
      <c r="D276" s="84">
        <f t="shared" si="299"/>
        <v>0.81390794014850254</v>
      </c>
      <c r="E276" s="84">
        <f t="shared" si="322"/>
        <v>-8.9424714701122926E-2</v>
      </c>
      <c r="F276" s="84">
        <f t="shared" si="323"/>
        <v>-2.6112806409506732</v>
      </c>
      <c r="G276" s="83">
        <f t="shared" si="324"/>
        <v>3.6223006486587011E-3</v>
      </c>
      <c r="H276" s="84">
        <f t="shared" si="325"/>
        <v>-0.17026513459152323</v>
      </c>
      <c r="I276" s="84">
        <f t="shared" si="304"/>
        <v>1.18546758069965</v>
      </c>
      <c r="J276" s="83">
        <f t="shared" si="326"/>
        <v>0.45405884614340031</v>
      </c>
      <c r="K276" s="83">
        <v>1.6727631634804512E-4</v>
      </c>
      <c r="L276" s="85">
        <f t="shared" si="327"/>
        <v>83214692143994.562</v>
      </c>
      <c r="M276" s="83">
        <f t="shared" si="328"/>
        <v>1801980339547621</v>
      </c>
      <c r="N276" s="84">
        <f t="shared" si="309"/>
        <v>8.1699346405228752</v>
      </c>
      <c r="O276" s="81">
        <v>1224</v>
      </c>
      <c r="P276" s="86"/>
      <c r="Q276" s="83">
        <f t="shared" si="329"/>
        <v>244449687793.65533</v>
      </c>
      <c r="R276" s="53">
        <v>253387968953.28436</v>
      </c>
      <c r="S276" s="106">
        <f t="shared" si="311"/>
        <v>1.2443313480141945E-3</v>
      </c>
      <c r="U276" s="75">
        <v>1279</v>
      </c>
      <c r="V276" s="76">
        <v>67.400000000000006</v>
      </c>
      <c r="W276" s="77">
        <v>1700000000000000</v>
      </c>
      <c r="X276" s="77">
        <f t="shared" si="320"/>
        <v>6.4223792004330428E-4</v>
      </c>
      <c r="Y276" s="77">
        <f t="shared" si="321"/>
        <v>1091804464073.6173</v>
      </c>
      <c r="Z276" s="36"/>
    </row>
    <row r="277" spans="4:26" ht="15.75">
      <c r="D277" s="84">
        <f t="shared" si="299"/>
        <v>0.81264629834543878</v>
      </c>
      <c r="E277" s="84">
        <f t="shared" si="322"/>
        <v>-9.0098438540298934E-2</v>
      </c>
      <c r="F277" s="84">
        <f t="shared" si="323"/>
        <v>-2.5939830891105631</v>
      </c>
      <c r="G277" s="83">
        <f t="shared" si="324"/>
        <v>3.7694852259070296E-3</v>
      </c>
      <c r="H277" s="84">
        <f t="shared" si="325"/>
        <v>-0.17026513459152323</v>
      </c>
      <c r="I277" s="84">
        <f t="shared" si="304"/>
        <v>1.18546758069965</v>
      </c>
      <c r="J277" s="83">
        <f t="shared" si="326"/>
        <v>0.45405884614340031</v>
      </c>
      <c r="K277" s="83">
        <v>1.7166589254781145E-4</v>
      </c>
      <c r="L277" s="85">
        <f t="shared" si="327"/>
        <v>82870732205251.031</v>
      </c>
      <c r="M277" s="83">
        <f t="shared" si="328"/>
        <v>1819697530310450.2</v>
      </c>
      <c r="N277" s="84">
        <f t="shared" si="309"/>
        <v>8.2372322899505761</v>
      </c>
      <c r="O277" s="81">
        <v>1214</v>
      </c>
      <c r="P277" s="86"/>
      <c r="Q277" s="83">
        <f t="shared" si="329"/>
        <v>252901144125.93475</v>
      </c>
      <c r="R277" s="53">
        <v>262943053463.22208</v>
      </c>
      <c r="S277" s="106">
        <f t="shared" si="311"/>
        <v>1.4585092515024326E-3</v>
      </c>
      <c r="U277" s="75">
        <v>1290</v>
      </c>
      <c r="V277" s="76">
        <v>70.099999999999994</v>
      </c>
      <c r="W277" s="77">
        <v>1700000000000000</v>
      </c>
      <c r="X277" s="77">
        <f t="shared" si="320"/>
        <v>6.6226972156799117E-4</v>
      </c>
      <c r="Y277" s="77">
        <f t="shared" si="321"/>
        <v>1125858526665.585</v>
      </c>
      <c r="Z277" s="36"/>
    </row>
    <row r="278" spans="4:26" ht="15.75">
      <c r="D278" s="84">
        <f t="shared" ref="D278:D288" si="330">10^E278</f>
        <v>0.79614054890923847</v>
      </c>
      <c r="E278" s="84">
        <f t="shared" ref="E278:E288" si="331">LOG(J278)/(1+(F278/(I278-0.14*F278))^2)</f>
        <v>-9.9010256097126631E-2</v>
      </c>
      <c r="F278" s="84">
        <f t="shared" ref="F278:F288" si="332">LOG(G278)+H278</f>
        <v>-2.3844393889392097</v>
      </c>
      <c r="G278" s="83">
        <f t="shared" ref="G278:G288" si="333">M278*K278/L278</f>
        <v>6.1069694247028582E-3</v>
      </c>
      <c r="H278" s="84">
        <f t="shared" ref="H278:H288" si="334">-0.4-0.67*LOG(J278)</f>
        <v>-0.17026513459152323</v>
      </c>
      <c r="I278" s="84">
        <f t="shared" ref="I278:I288" si="335">0.75-1.27*LOG(J278)</f>
        <v>1.18546758069965</v>
      </c>
      <c r="J278" s="83">
        <f t="shared" ref="J278:J288" si="336">(1-$B$10)*EXP(-O278/$B$11)+$B$10*EXP(-O278/$B$12)+EXP(-B$13/O278)</f>
        <v>0.45405884614340031</v>
      </c>
      <c r="K278" s="83">
        <v>2.8436973779167663E-4</v>
      </c>
      <c r="L278" s="85">
        <f t="shared" si="327"/>
        <v>83420665560261.797</v>
      </c>
      <c r="M278" s="83">
        <f t="shared" si="328"/>
        <v>1791496725077308.2</v>
      </c>
      <c r="N278" s="84">
        <f t="shared" si="309"/>
        <v>8.1300813008130088</v>
      </c>
      <c r="O278" s="81">
        <v>1230</v>
      </c>
      <c r="P278" s="86"/>
      <c r="Q278" s="83">
        <f t="shared" si="329"/>
        <v>403129873826.3728</v>
      </c>
      <c r="R278" s="53">
        <v>432018854220.50629</v>
      </c>
      <c r="S278" s="106">
        <f t="shared" si="311"/>
        <v>4.4715596317122424E-3</v>
      </c>
      <c r="U278" s="75">
        <v>1291</v>
      </c>
      <c r="V278" s="76">
        <v>68.3</v>
      </c>
      <c r="W278" s="77">
        <v>1700000000000000</v>
      </c>
      <c r="X278" s="77">
        <f t="shared" si="320"/>
        <v>6.4476440492989434E-4</v>
      </c>
      <c r="Y278" s="77">
        <f t="shared" si="321"/>
        <v>1096099488380.8204</v>
      </c>
      <c r="Z278" s="36"/>
    </row>
    <row r="279" spans="4:26" ht="15.75">
      <c r="D279" s="95">
        <f t="shared" si="330"/>
        <v>0.83929569191185571</v>
      </c>
      <c r="E279" s="95">
        <f t="shared" si="331"/>
        <v>-7.6085006106137248E-2</v>
      </c>
      <c r="F279" s="95">
        <f t="shared" si="332"/>
        <v>-3.0086784476088551</v>
      </c>
      <c r="G279" s="96">
        <f t="shared" si="333"/>
        <v>1.4507303172047695E-3</v>
      </c>
      <c r="H279" s="95">
        <f t="shared" si="334"/>
        <v>-0.17026513459152323</v>
      </c>
      <c r="I279" s="95">
        <f t="shared" si="335"/>
        <v>1.18546758069965</v>
      </c>
      <c r="J279" s="96">
        <f t="shared" si="336"/>
        <v>0.45405884614340031</v>
      </c>
      <c r="K279" s="96">
        <v>1.1674961576933085E-4</v>
      </c>
      <c r="L279" s="97">
        <f t="shared" si="327"/>
        <v>98373320018072.609</v>
      </c>
      <c r="M279" s="96">
        <f t="shared" si="328"/>
        <v>1222386530472799.5</v>
      </c>
      <c r="N279" s="95">
        <f t="shared" ref="N279:N289" si="337">10000/O279</f>
        <v>5.9206631142687982</v>
      </c>
      <c r="O279" s="46">
        <v>1689</v>
      </c>
      <c r="P279" s="99"/>
      <c r="Q279" s="96">
        <f t="shared" si="329"/>
        <v>119605023848.13853</v>
      </c>
      <c r="R279" s="107">
        <v>108287538882.438</v>
      </c>
      <c r="S279" s="100">
        <f t="shared" si="311"/>
        <v>1.0923023947454936E-2</v>
      </c>
      <c r="U279" s="75">
        <v>1315</v>
      </c>
      <c r="V279" s="76">
        <v>70.099999999999994</v>
      </c>
      <c r="W279" s="77">
        <v>1800000000000000</v>
      </c>
      <c r="X279" s="77">
        <f t="shared" si="320"/>
        <v>6.4967904245072892E-4</v>
      </c>
      <c r="Y279" s="77">
        <f t="shared" si="321"/>
        <v>1169422276411.312</v>
      </c>
      <c r="Z279" s="36"/>
    </row>
    <row r="280" spans="4:26" ht="15.75">
      <c r="D280" s="95">
        <f t="shared" si="330"/>
        <v>0.84154709048491927</v>
      </c>
      <c r="E280" s="95">
        <f t="shared" si="331"/>
        <v>-7.4921577174137902E-2</v>
      </c>
      <c r="F280" s="95">
        <f t="shared" si="332"/>
        <v>-3.0493101390182726</v>
      </c>
      <c r="G280" s="96">
        <f t="shared" si="333"/>
        <v>1.3211587200093629E-3</v>
      </c>
      <c r="H280" s="95">
        <f t="shared" si="334"/>
        <v>-0.17026513459152323</v>
      </c>
      <c r="I280" s="95">
        <f t="shared" si="335"/>
        <v>1.18546758069965</v>
      </c>
      <c r="J280" s="96">
        <f t="shared" si="336"/>
        <v>0.45405884614340031</v>
      </c>
      <c r="K280" s="96">
        <v>1.1133011978794263E-4</v>
      </c>
      <c r="L280" s="97">
        <f t="shared" si="327"/>
        <v>99763120921618.312</v>
      </c>
      <c r="M280" s="96">
        <f t="shared" si="328"/>
        <v>1183892709286558.7</v>
      </c>
      <c r="N280" s="95">
        <f t="shared" si="337"/>
        <v>5.7670126874279122</v>
      </c>
      <c r="O280" s="46">
        <v>1734</v>
      </c>
      <c r="P280" s="99"/>
      <c r="Q280" s="96">
        <f t="shared" si="329"/>
        <v>110772014025.12448</v>
      </c>
      <c r="R280" s="47">
        <v>102442636956.61859</v>
      </c>
      <c r="S280" s="100">
        <f t="shared" si="311"/>
        <v>6.6109450566252054E-3</v>
      </c>
      <c r="U280" s="75">
        <v>1327</v>
      </c>
      <c r="V280" s="76">
        <v>68.2</v>
      </c>
      <c r="W280" s="77">
        <v>2000000000000000</v>
      </c>
      <c r="X280" s="77">
        <f t="shared" si="320"/>
        <v>6.2635427228094581E-4</v>
      </c>
      <c r="Y280" s="77">
        <f t="shared" si="321"/>
        <v>1252708544561.8916</v>
      </c>
      <c r="Z280" s="36"/>
    </row>
    <row r="281" spans="4:26" ht="15.75">
      <c r="D281" s="95">
        <f t="shared" si="330"/>
        <v>0.84496023413432597</v>
      </c>
      <c r="E281" s="95">
        <f t="shared" si="331"/>
        <v>-7.3163729514698322E-2</v>
      </c>
      <c r="F281" s="95">
        <f t="shared" si="332"/>
        <v>-3.1129305696553424</v>
      </c>
      <c r="G281" s="96">
        <f t="shared" si="333"/>
        <v>1.141128533649938E-3</v>
      </c>
      <c r="H281" s="95">
        <f t="shared" si="334"/>
        <v>-0.17026513459152323</v>
      </c>
      <c r="I281" s="95">
        <f t="shared" si="335"/>
        <v>1.18546758069965</v>
      </c>
      <c r="J281" s="96">
        <f t="shared" si="336"/>
        <v>0.45405884614340031</v>
      </c>
      <c r="K281" s="96">
        <v>1.0087671073658565E-4</v>
      </c>
      <c r="L281" s="97">
        <f t="shared" si="327"/>
        <v>101232337672092.95</v>
      </c>
      <c r="M281" s="96">
        <f t="shared" si="328"/>
        <v>1145151424964282.7</v>
      </c>
      <c r="N281" s="95">
        <f t="shared" si="337"/>
        <v>5.6116722783389452</v>
      </c>
      <c r="O281" s="46">
        <v>1782</v>
      </c>
      <c r="P281" s="99"/>
      <c r="Q281" s="96">
        <f t="shared" si="329"/>
        <v>97497795909.372375</v>
      </c>
      <c r="R281" s="47">
        <v>91322990032.085144</v>
      </c>
      <c r="S281" s="100">
        <f t="shared" si="311"/>
        <v>4.5717910477791656E-3</v>
      </c>
      <c r="U281" s="75">
        <v>1344</v>
      </c>
      <c r="V281" s="76">
        <v>65.8</v>
      </c>
      <c r="W281" s="77">
        <v>2000000000000000</v>
      </c>
      <c r="X281" s="77">
        <f t="shared" si="320"/>
        <v>5.9666864625932162E-4</v>
      </c>
      <c r="Y281" s="77">
        <f t="shared" si="321"/>
        <v>1193337292518.6433</v>
      </c>
      <c r="Z281" s="36"/>
    </row>
    <row r="282" spans="4:26" ht="15.75">
      <c r="D282" s="95">
        <f t="shared" si="330"/>
        <v>0.83930523550040714</v>
      </c>
      <c r="E282" s="95">
        <f t="shared" si="331"/>
        <v>-7.608006779378701E-2</v>
      </c>
      <c r="F282" s="95">
        <f t="shared" si="332"/>
        <v>-3.0088485274576553</v>
      </c>
      <c r="G282" s="96">
        <f t="shared" si="333"/>
        <v>1.4501622886089265E-3</v>
      </c>
      <c r="H282" s="95">
        <f t="shared" si="334"/>
        <v>-0.17026513459152323</v>
      </c>
      <c r="I282" s="95">
        <f t="shared" si="335"/>
        <v>1.18546758069965</v>
      </c>
      <c r="J282" s="96">
        <f t="shared" si="336"/>
        <v>0.45405884614340031</v>
      </c>
      <c r="K282" s="96">
        <v>1.1682476125676659E-4</v>
      </c>
      <c r="L282" s="97">
        <f t="shared" si="327"/>
        <v>98404337528257.094</v>
      </c>
      <c r="M282" s="96">
        <f t="shared" si="328"/>
        <v>1221506962940676.7</v>
      </c>
      <c r="N282" s="95">
        <f t="shared" si="337"/>
        <v>5.9171597633136095</v>
      </c>
      <c r="O282" s="46">
        <v>1690</v>
      </c>
      <c r="P282" s="99"/>
      <c r="Q282" s="96">
        <f t="shared" si="329"/>
        <v>119597317844.03622</v>
      </c>
      <c r="R282" s="47">
        <v>111321806844.3838</v>
      </c>
      <c r="S282" s="100">
        <f t="shared" si="311"/>
        <v>5.5262324307674979E-3</v>
      </c>
      <c r="U282" s="75">
        <v>1316</v>
      </c>
      <c r="V282" s="76">
        <v>118.9</v>
      </c>
      <c r="W282" s="77">
        <v>1500000000000000</v>
      </c>
      <c r="X282" s="77">
        <f t="shared" si="320"/>
        <v>1.101114692469508E-3</v>
      </c>
      <c r="Y282" s="77">
        <f t="shared" si="321"/>
        <v>1651672038704.262</v>
      </c>
      <c r="Z282" s="36"/>
    </row>
    <row r="283" spans="4:26" ht="15.75">
      <c r="D283" s="95">
        <f t="shared" si="330"/>
        <v>0.85795500833616301</v>
      </c>
      <c r="E283" s="95">
        <f t="shared" si="331"/>
        <v>-6.6535486211506636E-2</v>
      </c>
      <c r="F283" s="95">
        <f t="shared" si="332"/>
        <v>-3.3805182465327666</v>
      </c>
      <c r="G283" s="96">
        <f t="shared" si="333"/>
        <v>6.1623574772814332E-4</v>
      </c>
      <c r="H283" s="95">
        <f t="shared" si="334"/>
        <v>-0.17026513459152323</v>
      </c>
      <c r="I283" s="95">
        <f t="shared" si="335"/>
        <v>1.18546758069965</v>
      </c>
      <c r="J283" s="96">
        <f t="shared" si="336"/>
        <v>0.45405884614340031</v>
      </c>
      <c r="K283" s="96">
        <v>6.9929904206790443E-5</v>
      </c>
      <c r="L283" s="97">
        <f t="shared" si="327"/>
        <v>109289270280617.23</v>
      </c>
      <c r="M283" s="96">
        <f t="shared" si="328"/>
        <v>963078041561217.87</v>
      </c>
      <c r="N283" s="95">
        <f t="shared" si="337"/>
        <v>4.8709206039941551</v>
      </c>
      <c r="O283" s="46">
        <v>2053</v>
      </c>
      <c r="P283" s="99"/>
      <c r="Q283" s="96">
        <f t="shared" si="329"/>
        <v>57745930349.92627</v>
      </c>
      <c r="R283" s="47">
        <v>52960191738.404243</v>
      </c>
      <c r="S283" s="100">
        <f t="shared" si="311"/>
        <v>8.1658021197931422E-3</v>
      </c>
      <c r="U283" s="75">
        <v>1332</v>
      </c>
      <c r="V283" s="76">
        <v>113.9</v>
      </c>
      <c r="W283" s="77">
        <v>1500000000000000</v>
      </c>
      <c r="X283" s="77">
        <f t="shared" si="320"/>
        <v>1.0421400622416981E-3</v>
      </c>
      <c r="Y283" s="77">
        <f t="shared" si="321"/>
        <v>1563210093362.5471</v>
      </c>
      <c r="Z283" s="36"/>
    </row>
    <row r="284" spans="4:26" ht="15.75">
      <c r="D284" s="95">
        <f t="shared" si="330"/>
        <v>0.8493764979809928</v>
      </c>
      <c r="E284" s="95">
        <f t="shared" si="331"/>
        <v>-7.0899759990473279E-2</v>
      </c>
      <c r="F284" s="95">
        <f t="shared" si="332"/>
        <v>-3.1991179701093357</v>
      </c>
      <c r="G284" s="96">
        <f t="shared" si="333"/>
        <v>9.3572269824855885E-4</v>
      </c>
      <c r="H284" s="95">
        <f t="shared" si="334"/>
        <v>-0.17026513459152323</v>
      </c>
      <c r="I284" s="95">
        <f t="shared" si="335"/>
        <v>1.18546758069965</v>
      </c>
      <c r="J284" s="96">
        <f t="shared" si="336"/>
        <v>0.45405884614340031</v>
      </c>
      <c r="K284" s="96">
        <v>8.575982039739561E-5</v>
      </c>
      <c r="L284" s="97">
        <f t="shared" si="327"/>
        <v>102355784230524.48</v>
      </c>
      <c r="M284" s="96">
        <f t="shared" si="328"/>
        <v>1116800736728714.5</v>
      </c>
      <c r="N284" s="95">
        <f t="shared" si="337"/>
        <v>5.4975261132490383</v>
      </c>
      <c r="O284" s="46">
        <v>1819</v>
      </c>
      <c r="P284" s="99"/>
      <c r="Q284" s="96">
        <f t="shared" si="329"/>
        <v>81274368817.06189</v>
      </c>
      <c r="R284" s="47">
        <v>76446104762.909714</v>
      </c>
      <c r="S284" s="100">
        <f t="shared" si="311"/>
        <v>3.9890667554304815E-3</v>
      </c>
      <c r="U284" s="75">
        <v>1376</v>
      </c>
      <c r="V284" s="76">
        <v>112</v>
      </c>
      <c r="W284" s="77">
        <v>1500000000000000</v>
      </c>
      <c r="X284" s="77">
        <f t="shared" si="320"/>
        <v>9.9198745741282566E-4</v>
      </c>
      <c r="Y284" s="77">
        <f t="shared" si="321"/>
        <v>1487981186119.2385</v>
      </c>
      <c r="Z284" s="36"/>
    </row>
    <row r="285" spans="4:26" ht="15.75">
      <c r="D285" s="95">
        <f t="shared" si="330"/>
        <v>0.85115283527381314</v>
      </c>
      <c r="E285" s="95">
        <f t="shared" si="331"/>
        <v>-6.9992449837364967E-2</v>
      </c>
      <c r="F285" s="95">
        <f t="shared" si="332"/>
        <v>-3.2350986051911828</v>
      </c>
      <c r="G285" s="96">
        <f t="shared" si="333"/>
        <v>8.6132396192080895E-4</v>
      </c>
      <c r="H285" s="95">
        <f t="shared" si="334"/>
        <v>-0.17026513459152323</v>
      </c>
      <c r="I285" s="95">
        <f t="shared" si="335"/>
        <v>1.18546758069965</v>
      </c>
      <c r="J285" s="96">
        <f t="shared" si="336"/>
        <v>0.45405884614340031</v>
      </c>
      <c r="K285" s="96">
        <v>8.1555425532729714E-5</v>
      </c>
      <c r="L285" s="97">
        <f t="shared" si="327"/>
        <v>103381344990498</v>
      </c>
      <c r="M285" s="96">
        <f t="shared" si="328"/>
        <v>1091832077072326.2</v>
      </c>
      <c r="N285" s="95">
        <f t="shared" si="337"/>
        <v>5.3966540744738261</v>
      </c>
      <c r="O285" s="46">
        <v>1853</v>
      </c>
      <c r="P285" s="99"/>
      <c r="Q285" s="96">
        <f t="shared" si="329"/>
        <v>75725535010.27446</v>
      </c>
      <c r="R285" s="47">
        <v>71379593901.476212</v>
      </c>
      <c r="S285" s="100">
        <f t="shared" si="311"/>
        <v>3.7069739004668718E-3</v>
      </c>
      <c r="U285" s="33"/>
      <c r="W285" s="6" t="s">
        <v>61</v>
      </c>
      <c r="Z285" s="36"/>
    </row>
    <row r="286" spans="4:26" ht="15.75">
      <c r="D286" s="95">
        <f t="shared" si="330"/>
        <v>0.84584856487976656</v>
      </c>
      <c r="E286" s="95">
        <f t="shared" si="331"/>
        <v>-7.2707383206857601E-2</v>
      </c>
      <c r="F286" s="95">
        <f t="shared" si="332"/>
        <v>-3.1299062806695268</v>
      </c>
      <c r="G286" s="96">
        <f t="shared" si="333"/>
        <v>1.097384581384133E-3</v>
      </c>
      <c r="H286" s="95">
        <f t="shared" si="334"/>
        <v>-0.17026513459152323</v>
      </c>
      <c r="I286" s="95">
        <f t="shared" si="335"/>
        <v>1.18546758069965</v>
      </c>
      <c r="J286" s="96">
        <f t="shared" si="336"/>
        <v>0.45405884614340031</v>
      </c>
      <c r="K286" s="96">
        <v>9.1634173892125387E-5</v>
      </c>
      <c r="L286" s="97">
        <f t="shared" ref="L286:L289" si="338">B$4*O286^B$5*EXP(-B$6/1.987/O286)</f>
        <v>99486133148339.266</v>
      </c>
      <c r="M286" s="96">
        <f t="shared" ref="M286:M289" si="339">$B$7*O286^$B$8*EXP(-$B$9/1.987/O286)</f>
        <v>1191417393111876.5</v>
      </c>
      <c r="N286" s="95">
        <f t="shared" si="337"/>
        <v>5.7971014492753623</v>
      </c>
      <c r="O286" s="46">
        <v>1725</v>
      </c>
      <c r="P286" s="99"/>
      <c r="Q286" s="96">
        <f t="shared" ref="Q286:Q289" si="340">L286/(1+L286/M286/K286)*D286</f>
        <v>92243908193.955795</v>
      </c>
      <c r="R286" s="47">
        <v>87806705927.202377</v>
      </c>
      <c r="S286" s="100">
        <f t="shared" si="311"/>
        <v>2.5536600514771447E-3</v>
      </c>
      <c r="U286" s="33"/>
      <c r="V286" t="s">
        <v>59</v>
      </c>
      <c r="W286" s="6" t="s">
        <v>60</v>
      </c>
      <c r="Y286" t="s">
        <v>16</v>
      </c>
      <c r="Z286" t="s">
        <v>65</v>
      </c>
    </row>
    <row r="287" spans="4:26" ht="15.75">
      <c r="D287" s="95">
        <f t="shared" si="330"/>
        <v>0.84320561836523089</v>
      </c>
      <c r="E287" s="95">
        <f t="shared" si="331"/>
        <v>-7.406650837335968E-2</v>
      </c>
      <c r="F287" s="95">
        <f t="shared" si="332"/>
        <v>-3.0799125347088001</v>
      </c>
      <c r="G287" s="96">
        <f t="shared" si="333"/>
        <v>1.2312680208288352E-3</v>
      </c>
      <c r="H287" s="95">
        <f t="shared" si="334"/>
        <v>-0.17026513459152323</v>
      </c>
      <c r="I287" s="95">
        <f t="shared" si="335"/>
        <v>1.18546758069965</v>
      </c>
      <c r="J287" s="96">
        <f t="shared" si="336"/>
        <v>0.45405884614340031</v>
      </c>
      <c r="K287" s="96">
        <v>9.8985505377214485E-5</v>
      </c>
      <c r="L287" s="97">
        <f t="shared" si="338"/>
        <v>98342296400668.141</v>
      </c>
      <c r="M287" s="96">
        <f t="shared" si="339"/>
        <v>1223267226767992.2</v>
      </c>
      <c r="N287" s="95">
        <f t="shared" si="337"/>
        <v>5.9241706161137442</v>
      </c>
      <c r="O287" s="46">
        <v>1688</v>
      </c>
      <c r="P287" s="99"/>
      <c r="Q287" s="96">
        <f t="shared" si="340"/>
        <v>101974605260.85187</v>
      </c>
      <c r="R287" s="47">
        <v>87941523065.299316</v>
      </c>
      <c r="S287" s="100">
        <f t="shared" si="311"/>
        <v>2.5463504352435776E-2</v>
      </c>
      <c r="U287" s="81">
        <v>1249</v>
      </c>
      <c r="V287" s="82">
        <v>32.5</v>
      </c>
      <c r="W287" s="53">
        <v>1710000000000000</v>
      </c>
      <c r="X287" s="83">
        <f t="shared" ref="X287:X297" si="341">V287*101325/8.314/U287/1000000</f>
        <v>3.1712283466417109E-4</v>
      </c>
      <c r="Y287" s="83">
        <f t="shared" ref="Y287:Y297" si="342">W287*X287</f>
        <v>542280047275.73254</v>
      </c>
      <c r="Z287" s="57">
        <v>488341145704.54272</v>
      </c>
    </row>
    <row r="288" spans="4:26" ht="15.75">
      <c r="D288" s="95">
        <f t="shared" si="330"/>
        <v>0.8403349929701921</v>
      </c>
      <c r="E288" s="95">
        <f t="shared" si="331"/>
        <v>-7.5547551323560058E-2</v>
      </c>
      <c r="F288" s="95">
        <f t="shared" si="332"/>
        <v>-3.0273072295381085</v>
      </c>
      <c r="G288" s="96">
        <f t="shared" si="333"/>
        <v>1.3898179135305544E-3</v>
      </c>
      <c r="H288" s="95">
        <f t="shared" si="334"/>
        <v>-0.17026513459152323</v>
      </c>
      <c r="I288" s="95">
        <f t="shared" si="335"/>
        <v>1.18546758069965</v>
      </c>
      <c r="J288" s="96">
        <f t="shared" si="336"/>
        <v>0.45405884614340031</v>
      </c>
      <c r="K288" s="96">
        <v>1.0321027238245426E-4</v>
      </c>
      <c r="L288" s="97">
        <f t="shared" si="338"/>
        <v>95997826359285.453</v>
      </c>
      <c r="M288" s="96">
        <f t="shared" si="339"/>
        <v>1292695927007473.5</v>
      </c>
      <c r="N288" s="95">
        <f t="shared" si="337"/>
        <v>6.1996280223186613</v>
      </c>
      <c r="O288" s="46">
        <v>1613</v>
      </c>
      <c r="P288" s="99"/>
      <c r="Q288" s="96">
        <f t="shared" si="340"/>
        <v>111961467477.70647</v>
      </c>
      <c r="R288" s="47">
        <v>102111009014.30867</v>
      </c>
      <c r="S288" s="100">
        <f t="shared" si="311"/>
        <v>9.3061008073995824E-3</v>
      </c>
      <c r="U288" s="81">
        <v>1240</v>
      </c>
      <c r="V288" s="82">
        <v>32.4</v>
      </c>
      <c r="W288" s="53">
        <v>1720000000000000</v>
      </c>
      <c r="X288" s="83">
        <f t="shared" si="341"/>
        <v>3.1844168794183152E-4</v>
      </c>
      <c r="Y288" s="83">
        <f t="shared" si="342"/>
        <v>547719703259.9502</v>
      </c>
      <c r="Z288" s="57">
        <v>493041465837.65759</v>
      </c>
    </row>
    <row r="289" spans="1:26" ht="15.75">
      <c r="D289" s="95">
        <f t="shared" ref="D289:D291" si="343">10^E289</f>
        <v>0.83888995114527298</v>
      </c>
      <c r="E289" s="95">
        <f t="shared" ref="E289:E291" si="344">LOG(J289)/(1+(F289/(I289-0.14*F289))^2)</f>
        <v>-7.629500787819686E-2</v>
      </c>
      <c r="F289" s="95">
        <f t="shared" ref="F289:F291" si="345">LOG(G289)+H289</f>
        <v>-3.0014642813430368</v>
      </c>
      <c r="G289" s="96">
        <f t="shared" ref="G289:G291" si="346">M289*K289/L289</f>
        <v>1.4750299997147904E-3</v>
      </c>
      <c r="H289" s="95">
        <f t="shared" ref="H289:H291" si="347">-0.4-0.67*LOG(J289)</f>
        <v>-0.17026513459152323</v>
      </c>
      <c r="I289" s="95">
        <f t="shared" ref="I289:I291" si="348">0.75-1.27*LOG(J289)</f>
        <v>1.18546758069965</v>
      </c>
      <c r="J289" s="96">
        <f t="shared" ref="J289:J291" si="349">(1-$B$10)*EXP(-O289/$B$11)+$B$10*EXP(-O289/$B$12)+EXP(-B$13/O289)</f>
        <v>0.45405884614340031</v>
      </c>
      <c r="K289" s="96">
        <v>1.0718375104819452E-4</v>
      </c>
      <c r="L289" s="97">
        <f t="shared" si="338"/>
        <v>95366610068804.516</v>
      </c>
      <c r="M289" s="96">
        <f t="shared" si="339"/>
        <v>1312406119835631.5</v>
      </c>
      <c r="N289" s="95">
        <f t="shared" si="337"/>
        <v>6.2774639045825484</v>
      </c>
      <c r="O289" s="46">
        <v>1593</v>
      </c>
      <c r="P289" s="99"/>
      <c r="Q289" s="96">
        <f t="shared" si="340"/>
        <v>117831678799.48933</v>
      </c>
      <c r="R289" s="47">
        <v>104127097986.67564</v>
      </c>
      <c r="S289" s="100">
        <f t="shared" si="311"/>
        <v>1.7322237256420282E-2</v>
      </c>
      <c r="U289" s="81">
        <v>1255</v>
      </c>
      <c r="V289" s="82">
        <v>31</v>
      </c>
      <c r="W289" s="53">
        <v>1690000000000000</v>
      </c>
      <c r="X289" s="83">
        <f t="shared" si="341"/>
        <v>3.0104024604013583E-4</v>
      </c>
      <c r="Y289" s="83">
        <f t="shared" si="342"/>
        <v>508758015807.82953</v>
      </c>
      <c r="Z289" s="57">
        <v>459173604316.15625</v>
      </c>
    </row>
    <row r="290" spans="1:26" ht="15.75">
      <c r="D290" s="95">
        <f t="shared" si="343"/>
        <v>0.83677246539345418</v>
      </c>
      <c r="E290" s="95">
        <f t="shared" si="344"/>
        <v>-7.7392619017464775E-2</v>
      </c>
      <c r="F290" s="95">
        <f t="shared" si="345"/>
        <v>-2.964335640896552</v>
      </c>
      <c r="G290" s="96">
        <f t="shared" si="346"/>
        <v>1.6066803924713242E-3</v>
      </c>
      <c r="H290" s="95">
        <f t="shared" si="347"/>
        <v>-0.17026513459152323</v>
      </c>
      <c r="I290" s="95">
        <f t="shared" si="348"/>
        <v>1.18546758069965</v>
      </c>
      <c r="J290" s="96">
        <f t="shared" si="349"/>
        <v>0.45405884614340031</v>
      </c>
      <c r="K290" s="96">
        <v>1.1257604180159508E-4</v>
      </c>
      <c r="L290" s="97">
        <f t="shared" ref="L290:L291" si="350">B$4*O290^B$5*EXP(-B$6/1.987/O290)</f>
        <v>94319399844782.734</v>
      </c>
      <c r="M290" s="96">
        <f t="shared" ref="M290:M291" si="351">$B$7*O290^$B$8*EXP(-$B$9/1.987/O290)</f>
        <v>1346122389232271.7</v>
      </c>
      <c r="N290" s="95">
        <f t="shared" ref="N290:N291" si="352">10000/O290</f>
        <v>6.4102564102564106</v>
      </c>
      <c r="O290" s="46">
        <v>1560</v>
      </c>
      <c r="P290" s="99"/>
      <c r="Q290" s="96">
        <f t="shared" ref="Q290:Q291" si="353">L290/(1+L290/M290/K290)*D290</f>
        <v>126602036250.78728</v>
      </c>
      <c r="R290" s="47">
        <v>120636713715.05894</v>
      </c>
      <c r="S290" s="100">
        <f t="shared" si="311"/>
        <v>2.4451689065500249E-3</v>
      </c>
      <c r="U290" s="81">
        <v>1262</v>
      </c>
      <c r="V290" s="82">
        <v>31.5</v>
      </c>
      <c r="W290" s="53">
        <v>1640000000000000</v>
      </c>
      <c r="X290" s="83">
        <f t="shared" si="341"/>
        <v>3.0419900635401232E-4</v>
      </c>
      <c r="Y290" s="83">
        <f t="shared" si="342"/>
        <v>498886370420.5802</v>
      </c>
      <c r="Z290" s="57">
        <v>450575759424.74725</v>
      </c>
    </row>
    <row r="291" spans="1:26" ht="15.75">
      <c r="D291" s="95">
        <f t="shared" si="343"/>
        <v>0.8333274455468852</v>
      </c>
      <c r="E291" s="95">
        <f t="shared" si="344"/>
        <v>-7.9184314498262728E-2</v>
      </c>
      <c r="F291" s="95">
        <f t="shared" si="345"/>
        <v>-2.9057281879794661</v>
      </c>
      <c r="G291" s="96">
        <f t="shared" si="346"/>
        <v>1.838810379807332E-3</v>
      </c>
      <c r="H291" s="95">
        <f t="shared" si="347"/>
        <v>-0.17026513459152323</v>
      </c>
      <c r="I291" s="95">
        <f t="shared" si="348"/>
        <v>1.18546758069965</v>
      </c>
      <c r="J291" s="96">
        <f t="shared" si="349"/>
        <v>0.45405884614340031</v>
      </c>
      <c r="K291" s="96">
        <v>1.1967169854128467E-4</v>
      </c>
      <c r="L291" s="97">
        <f t="shared" si="350"/>
        <v>92235386327127.656</v>
      </c>
      <c r="M291" s="96">
        <f t="shared" si="351"/>
        <v>1417238894669414</v>
      </c>
      <c r="N291" s="95">
        <f t="shared" si="352"/>
        <v>6.6889632107023411</v>
      </c>
      <c r="O291" s="46">
        <v>1495</v>
      </c>
      <c r="P291" s="99"/>
      <c r="Q291" s="96">
        <f t="shared" si="353"/>
        <v>141075744671.06152</v>
      </c>
      <c r="R291" s="47">
        <v>130028326870.21216</v>
      </c>
      <c r="S291" s="100">
        <f t="shared" si="311"/>
        <v>7.2184775317472773E-3</v>
      </c>
      <c r="U291" s="81">
        <v>1184</v>
      </c>
      <c r="V291" s="82">
        <v>16.8</v>
      </c>
      <c r="W291" s="53">
        <v>1780000000000000</v>
      </c>
      <c r="X291" s="83">
        <f t="shared" si="341"/>
        <v>1.7292754325169528E-4</v>
      </c>
      <c r="Y291" s="83">
        <f t="shared" si="342"/>
        <v>307811026988.01758</v>
      </c>
      <c r="Z291" s="57">
        <v>281797888476.36108</v>
      </c>
    </row>
    <row r="292" spans="1:26" ht="15.75">
      <c r="D292" s="95"/>
      <c r="E292" s="95"/>
      <c r="F292" s="95"/>
      <c r="G292" s="96"/>
      <c r="H292" s="95"/>
      <c r="I292" s="95"/>
      <c r="J292" s="96"/>
      <c r="K292" s="96"/>
      <c r="L292" s="97"/>
      <c r="M292" s="96"/>
      <c r="N292" s="95"/>
      <c r="O292" s="98"/>
      <c r="P292" s="99"/>
      <c r="Q292" s="96"/>
      <c r="R292" s="46"/>
      <c r="S292" s="100"/>
      <c r="U292" s="81">
        <v>1196</v>
      </c>
      <c r="V292" s="82">
        <v>16.899999999999999</v>
      </c>
      <c r="W292" s="53">
        <v>1760000000000000</v>
      </c>
      <c r="X292" s="83">
        <f t="shared" si="341"/>
        <v>1.722114871719781E-4</v>
      </c>
      <c r="Y292" s="83">
        <f t="shared" si="342"/>
        <v>303092217422.68146</v>
      </c>
      <c r="Z292" s="57">
        <v>277598309549.3382</v>
      </c>
    </row>
    <row r="293" spans="1:26">
      <c r="U293" s="81">
        <v>1212</v>
      </c>
      <c r="V293" s="82">
        <v>16.899999999999999</v>
      </c>
      <c r="W293" s="53">
        <v>1660000000000000</v>
      </c>
      <c r="X293" s="83">
        <f t="shared" si="341"/>
        <v>1.699380681994107E-4</v>
      </c>
      <c r="Y293" s="83">
        <f t="shared" si="342"/>
        <v>282097193211.02179</v>
      </c>
      <c r="Z293" s="57">
        <v>258835101844.46097</v>
      </c>
    </row>
    <row r="294" spans="1:26">
      <c r="U294" s="81">
        <v>1196</v>
      </c>
      <c r="V294" s="82">
        <v>17.399999999999999</v>
      </c>
      <c r="W294" s="53">
        <v>1700000000000000</v>
      </c>
      <c r="X294" s="83">
        <f t="shared" si="341"/>
        <v>1.7730650158535023E-4</v>
      </c>
      <c r="Y294" s="83">
        <f t="shared" si="342"/>
        <v>301421052695.0954</v>
      </c>
      <c r="Z294" s="57">
        <v>276105387645.50293</v>
      </c>
    </row>
    <row r="295" spans="1:26">
      <c r="L295" t="s">
        <v>67</v>
      </c>
      <c r="U295" s="81">
        <v>1224</v>
      </c>
      <c r="V295" s="82">
        <v>16.8</v>
      </c>
      <c r="W295" s="53">
        <v>1650000000000000</v>
      </c>
      <c r="X295" s="83">
        <f t="shared" si="341"/>
        <v>1.6727631634804512E-4</v>
      </c>
      <c r="Y295" s="83">
        <f t="shared" si="342"/>
        <v>276005921974.27448</v>
      </c>
      <c r="Z295" s="57">
        <v>253387968953.28436</v>
      </c>
    </row>
    <row r="296" spans="1:26">
      <c r="U296" s="81">
        <v>1214</v>
      </c>
      <c r="V296" s="82">
        <v>17.100000000000001</v>
      </c>
      <c r="W296" s="53">
        <v>1670000000000000</v>
      </c>
      <c r="X296" s="83">
        <f t="shared" si="341"/>
        <v>1.7166589254781145E-4</v>
      </c>
      <c r="Y296" s="83">
        <f t="shared" si="342"/>
        <v>286682040554.84509</v>
      </c>
      <c r="Z296" s="57">
        <v>262943053463.22208</v>
      </c>
    </row>
    <row r="297" spans="1:26" s="24" customFormat="1">
      <c r="A297"/>
      <c r="B297"/>
      <c r="C297"/>
      <c r="D297"/>
      <c r="E297"/>
      <c r="F297"/>
      <c r="G297"/>
      <c r="H297"/>
      <c r="I297"/>
      <c r="J297">
        <f>10^K297</f>
        <v>294.75382337064298</v>
      </c>
      <c r="K297">
        <v>2.4694594472124298</v>
      </c>
      <c r="L297" s="6">
        <v>2.1679860758563099E-32</v>
      </c>
      <c r="M297" s="6">
        <f>L297*6.02E+23*6.02E+23</f>
        <v>7856868258346301</v>
      </c>
      <c r="N297" s="6">
        <f>250/760*101325/8.314/J297/1000000</f>
        <v>1.3601085209071968E-5</v>
      </c>
      <c r="O297" s="6">
        <f>M297*N297</f>
        <v>106861934658.22092</v>
      </c>
      <c r="P297"/>
      <c r="Q297"/>
      <c r="R297"/>
      <c r="S297"/>
      <c r="U297" s="81">
        <v>1230</v>
      </c>
      <c r="V297" s="82">
        <v>28.7</v>
      </c>
      <c r="W297" s="53">
        <v>1680000000000000</v>
      </c>
      <c r="X297" s="83">
        <f t="shared" si="341"/>
        <v>2.8436973779167663E-4</v>
      </c>
      <c r="Y297" s="83">
        <f t="shared" si="342"/>
        <v>477741159490.01672</v>
      </c>
      <c r="Z297" s="57">
        <v>432018854220.50598</v>
      </c>
    </row>
    <row r="298" spans="1:26">
      <c r="J298">
        <f t="shared" ref="J298:J315" si="354">10^K298</f>
        <v>481.2363222904853</v>
      </c>
      <c r="K298">
        <v>2.6823583991644901</v>
      </c>
      <c r="L298" s="6">
        <v>1.34319807882026E-32</v>
      </c>
      <c r="M298" s="6">
        <f t="shared" ref="M298:M315" si="355">L298*6.02E+23*6.02E+23</f>
        <v>4867803565567775</v>
      </c>
      <c r="N298" s="6">
        <f t="shared" ref="N298:N315" si="356">250/760*101325/8.314/J298/1000000</f>
        <v>8.3305679178222038E-6</v>
      </c>
      <c r="O298" s="6">
        <f t="shared" ref="O298:O315" si="357">M298*N298</f>
        <v>40551568213.579437</v>
      </c>
    </row>
    <row r="299" spans="1:26" s="24" customFormat="1">
      <c r="A299"/>
      <c r="B299"/>
      <c r="C299"/>
      <c r="D299"/>
      <c r="E299"/>
      <c r="F299"/>
      <c r="G299"/>
      <c r="H299"/>
      <c r="I299"/>
      <c r="J299">
        <f t="shared" si="354"/>
        <v>485.70620371080264</v>
      </c>
      <c r="K299">
        <v>2.68637365056005</v>
      </c>
      <c r="L299" s="6">
        <v>1.22839176984986E-32</v>
      </c>
      <c r="M299" s="6">
        <f t="shared" si="355"/>
        <v>4451740909606686.5</v>
      </c>
      <c r="N299" s="6">
        <f t="shared" si="356"/>
        <v>8.2539029494275732E-6</v>
      </c>
      <c r="O299" s="6">
        <f t="shared" si="357"/>
        <v>36744237423.890015</v>
      </c>
      <c r="P299"/>
      <c r="Q299"/>
      <c r="R299"/>
      <c r="S299"/>
      <c r="U299"/>
      <c r="V299"/>
      <c r="W299"/>
      <c r="X299"/>
      <c r="Y299"/>
      <c r="Z299"/>
    </row>
    <row r="300" spans="1:26">
      <c r="J300">
        <f t="shared" si="354"/>
        <v>507.6398550111478</v>
      </c>
      <c r="K300">
        <v>2.7055557113973299</v>
      </c>
      <c r="L300" s="6">
        <v>1.13578283199411E-32</v>
      </c>
      <c r="M300" s="6">
        <f t="shared" si="355"/>
        <v>4116122414459934.5</v>
      </c>
      <c r="N300" s="6">
        <f t="shared" si="356"/>
        <v>7.8972756527870062E-6</v>
      </c>
      <c r="O300" s="6">
        <f t="shared" si="357"/>
        <v>32506153327.605309</v>
      </c>
    </row>
    <row r="301" spans="1:26">
      <c r="A301" t="s">
        <v>72</v>
      </c>
      <c r="B301" t="s">
        <v>73</v>
      </c>
      <c r="C301" t="s">
        <v>74</v>
      </c>
      <c r="J301">
        <f t="shared" si="354"/>
        <v>522.30199474515166</v>
      </c>
      <c r="K301">
        <v>2.7179216844721799</v>
      </c>
      <c r="L301" s="6">
        <v>1.17702837174354E-32</v>
      </c>
      <c r="M301" s="6">
        <f t="shared" si="355"/>
        <v>4265597900333459</v>
      </c>
      <c r="N301" s="6">
        <f t="shared" si="356"/>
        <v>7.6755821492123014E-6</v>
      </c>
      <c r="O301" s="6">
        <f t="shared" si="357"/>
        <v>32740947099.516972</v>
      </c>
    </row>
    <row r="302" spans="1:26">
      <c r="A302" s="33" t="s">
        <v>71</v>
      </c>
      <c r="B302" s="33" t="s">
        <v>71</v>
      </c>
      <c r="J302">
        <f t="shared" si="354"/>
        <v>543.88647745933167</v>
      </c>
      <c r="K302">
        <v>2.73550826117259</v>
      </c>
      <c r="L302" s="6">
        <v>1.0827723952041501E-32</v>
      </c>
      <c r="M302" s="6">
        <f t="shared" si="355"/>
        <v>3924010471115648</v>
      </c>
      <c r="N302" s="6">
        <f t="shared" si="356"/>
        <v>7.3709717625101799E-6</v>
      </c>
      <c r="O302" s="6">
        <f t="shared" si="357"/>
        <v>28923770378.387711</v>
      </c>
    </row>
    <row r="303" spans="1:26">
      <c r="A303">
        <f t="shared" ref="A303:A313" si="358">E320/C303*6.02E+23</f>
        <v>3.2943646937180096E+16</v>
      </c>
      <c r="B303">
        <f t="shared" ref="B303:B313" si="359">D320/C303*6.02E+23</f>
        <v>1.6471823468590048E+16</v>
      </c>
      <c r="C303">
        <f t="shared" ref="C303:C313" si="360">2.209E+24*I320^0.1879*EXP(-59608.8/I320)</f>
        <v>0.10474246805400196</v>
      </c>
      <c r="J303">
        <f t="shared" si="354"/>
        <v>552.51461352792978</v>
      </c>
      <c r="K303">
        <v>2.74234376921798</v>
      </c>
      <c r="L303" s="6">
        <v>8.9654495824825604E-33</v>
      </c>
      <c r="M303" s="6">
        <f t="shared" si="355"/>
        <v>3249114790490009.5</v>
      </c>
      <c r="N303" s="6">
        <f t="shared" si="356"/>
        <v>7.2558657621120256E-6</v>
      </c>
      <c r="O303" s="6">
        <f t="shared" si="357"/>
        <v>23575140765.488247</v>
      </c>
    </row>
    <row r="304" spans="1:26">
      <c r="A304">
        <f t="shared" si="358"/>
        <v>2.624909640240328E+16</v>
      </c>
      <c r="B304">
        <f t="shared" si="359"/>
        <v>1.312454820120164E+16</v>
      </c>
      <c r="C304">
        <f t="shared" si="360"/>
        <v>24.062147778948127</v>
      </c>
      <c r="J304">
        <f t="shared" si="354"/>
        <v>574.24128209163018</v>
      </c>
      <c r="K304">
        <v>2.7590944106267701</v>
      </c>
      <c r="L304" s="6">
        <v>9.5279818229003003E-33</v>
      </c>
      <c r="M304" s="6">
        <f t="shared" si="355"/>
        <v>3452978724546360</v>
      </c>
      <c r="N304" s="6">
        <f t="shared" si="356"/>
        <v>6.9813369264597075E-6</v>
      </c>
      <c r="O304" s="6">
        <f t="shared" si="357"/>
        <v>24106407875.955246</v>
      </c>
    </row>
    <row r="305" spans="1:26">
      <c r="A305">
        <f t="shared" si="358"/>
        <v>2.1153174288957696E+16</v>
      </c>
      <c r="B305">
        <f t="shared" si="359"/>
        <v>1.0576587144478848E+16</v>
      </c>
      <c r="C305">
        <f t="shared" si="360"/>
        <v>2236.8135141107168</v>
      </c>
      <c r="J305">
        <f t="shared" si="354"/>
        <v>586.53161341510668</v>
      </c>
      <c r="K305">
        <v>2.7682914250819399</v>
      </c>
      <c r="L305" s="6">
        <v>8.9809052214429003E-33</v>
      </c>
      <c r="M305" s="6">
        <f t="shared" si="355"/>
        <v>3254715975871793</v>
      </c>
      <c r="N305" s="6">
        <f t="shared" si="356"/>
        <v>6.8350482321344015E-6</v>
      </c>
      <c r="O305" s="6">
        <f t="shared" si="357"/>
        <v>22246140676.982094</v>
      </c>
    </row>
    <row r="306" spans="1:26">
      <c r="A306" s="24">
        <f t="shared" si="358"/>
        <v>1.7230935256704816E+16</v>
      </c>
      <c r="B306" s="24">
        <f t="shared" si="359"/>
        <v>8615467628352408</v>
      </c>
      <c r="C306" s="24">
        <f t="shared" si="360"/>
        <v>103665.48892598988</v>
      </c>
      <c r="J306">
        <f t="shared" si="354"/>
        <v>604.59902117949275</v>
      </c>
      <c r="K306">
        <v>2.7814674397377801</v>
      </c>
      <c r="L306" s="6">
        <v>8.8997055461245696E-33</v>
      </c>
      <c r="M306" s="6">
        <f t="shared" si="355"/>
        <v>3225288888737728.5</v>
      </c>
      <c r="N306" s="6">
        <f t="shared" si="356"/>
        <v>6.6307945049975266E-6</v>
      </c>
      <c r="O306" s="6">
        <f t="shared" si="357"/>
        <v>21386227840.47171</v>
      </c>
    </row>
    <row r="307" spans="1:26">
      <c r="A307">
        <f t="shared" si="358"/>
        <v>1.4177867405296868E+16</v>
      </c>
      <c r="B307">
        <f t="shared" si="359"/>
        <v>7088933702648434</v>
      </c>
      <c r="C307">
        <f t="shared" si="360"/>
        <v>2780268.9365740279</v>
      </c>
      <c r="J307">
        <f t="shared" si="354"/>
        <v>619.20002592338699</v>
      </c>
      <c r="K307">
        <v>2.7918309658569802</v>
      </c>
      <c r="L307" s="6">
        <v>9.4541034930748597E-33</v>
      </c>
      <c r="M307" s="6">
        <f t="shared" si="355"/>
        <v>3426204922304301.5</v>
      </c>
      <c r="N307" s="6">
        <f t="shared" si="356"/>
        <v>6.4744374992320972E-6</v>
      </c>
      <c r="O307" s="6">
        <f t="shared" si="357"/>
        <v>22182749629.020565</v>
      </c>
    </row>
    <row r="308" spans="1:26">
      <c r="A308">
        <f t="shared" si="358"/>
        <v>1.1775136943186844E+16</v>
      </c>
      <c r="B308">
        <f t="shared" si="359"/>
        <v>5887568471593422</v>
      </c>
      <c r="C308">
        <f t="shared" si="360"/>
        <v>48135777.186048426</v>
      </c>
      <c r="J308">
        <f t="shared" si="354"/>
        <v>620.28390839285669</v>
      </c>
      <c r="K308">
        <v>2.7925905147022299</v>
      </c>
      <c r="L308" s="6">
        <v>1.09775927191305E-32</v>
      </c>
      <c r="M308" s="6">
        <f t="shared" si="355"/>
        <v>3978323511783769.5</v>
      </c>
      <c r="N308" s="6">
        <f t="shared" si="356"/>
        <v>6.4631240841811131E-6</v>
      </c>
      <c r="O308" s="6">
        <f t="shared" si="357"/>
        <v>25712398503.673664</v>
      </c>
    </row>
    <row r="309" spans="1:26">
      <c r="A309">
        <f t="shared" si="358"/>
        <v>9864322959250328</v>
      </c>
      <c r="B309">
        <f t="shared" si="359"/>
        <v>4932161479625164</v>
      </c>
      <c r="C309">
        <f t="shared" si="360"/>
        <v>583971685.07185447</v>
      </c>
      <c r="J309">
        <f t="shared" si="354"/>
        <v>641.78064076975375</v>
      </c>
      <c r="K309">
        <v>2.8073866125200402</v>
      </c>
      <c r="L309" s="6">
        <v>9.9469612221715106E-33</v>
      </c>
      <c r="M309" s="6">
        <f t="shared" si="355"/>
        <v>3604818534759844</v>
      </c>
      <c r="N309" s="6">
        <f t="shared" si="356"/>
        <v>6.2466388243738395E-6</v>
      </c>
      <c r="O309" s="6">
        <f t="shared" si="357"/>
        <v>22517999414.053257</v>
      </c>
    </row>
    <row r="310" spans="1:26">
      <c r="A310">
        <f t="shared" si="358"/>
        <v>8329652158102268</v>
      </c>
      <c r="B310">
        <f t="shared" si="359"/>
        <v>4164826079051134</v>
      </c>
      <c r="C310">
        <f t="shared" si="360"/>
        <v>5285612912.2632542</v>
      </c>
      <c r="J310">
        <f t="shared" si="354"/>
        <v>656.68157024116533</v>
      </c>
      <c r="K310">
        <v>2.8173548279902301</v>
      </c>
      <c r="L310" s="6">
        <v>1.04096770534126E-32</v>
      </c>
      <c r="M310" s="6">
        <f t="shared" si="355"/>
        <v>3772508602864940</v>
      </c>
      <c r="N310" s="6">
        <f t="shared" si="356"/>
        <v>6.1048947450917105E-6</v>
      </c>
      <c r="O310" s="6">
        <f t="shared" si="357"/>
        <v>23030767945.443443</v>
      </c>
      <c r="U310" s="24"/>
      <c r="V310" s="24"/>
      <c r="W310" s="24"/>
      <c r="X310" s="24"/>
      <c r="Y310" s="24"/>
      <c r="Z310" s="24"/>
    </row>
    <row r="311" spans="1:26">
      <c r="A311">
        <f t="shared" si="358"/>
        <v>7085641712419126</v>
      </c>
      <c r="B311">
        <f t="shared" si="359"/>
        <v>3542820856209563</v>
      </c>
      <c r="C311">
        <f t="shared" si="360"/>
        <v>37477046438.803253</v>
      </c>
      <c r="J311">
        <f t="shared" si="354"/>
        <v>706.79001328679431</v>
      </c>
      <c r="K311">
        <v>2.8492904044381802</v>
      </c>
      <c r="L311" s="6">
        <v>1.0431768040317599E-32</v>
      </c>
      <c r="M311" s="6">
        <f t="shared" si="355"/>
        <v>3780514464883259.5</v>
      </c>
      <c r="N311" s="6">
        <f t="shared" si="356"/>
        <v>5.6720833514906249E-6</v>
      </c>
      <c r="O311" s="6">
        <f t="shared" si="357"/>
        <v>21443393156.333824</v>
      </c>
    </row>
    <row r="312" spans="1:26">
      <c r="A312">
        <f t="shared" si="358"/>
        <v>6068506870349318</v>
      </c>
      <c r="B312">
        <f t="shared" si="359"/>
        <v>3034253435174659</v>
      </c>
      <c r="C312">
        <f t="shared" si="360"/>
        <v>216336539820.83304</v>
      </c>
      <c r="J312">
        <f t="shared" si="354"/>
        <v>680.69194267067974</v>
      </c>
      <c r="K312">
        <v>2.8329506099047701</v>
      </c>
      <c r="L312" s="6">
        <v>9.3860196485809606E-33</v>
      </c>
      <c r="M312" s="6">
        <f t="shared" si="355"/>
        <v>3401531064724334</v>
      </c>
      <c r="N312" s="6">
        <f t="shared" si="356"/>
        <v>5.8895538731290855E-6</v>
      </c>
      <c r="O312" s="6">
        <f t="shared" si="357"/>
        <v>20033500456.816105</v>
      </c>
      <c r="U312" s="24"/>
      <c r="V312" s="24"/>
      <c r="W312" s="24"/>
      <c r="X312" s="24"/>
      <c r="Y312" s="24"/>
      <c r="Z312" s="24"/>
    </row>
    <row r="313" spans="1:26">
      <c r="A313">
        <f t="shared" si="358"/>
        <v>5230156848378372</v>
      </c>
      <c r="B313">
        <f t="shared" si="359"/>
        <v>2615078424189186</v>
      </c>
      <c r="C313">
        <f t="shared" si="360"/>
        <v>1048510528203.5049</v>
      </c>
      <c r="J313">
        <f t="shared" si="354"/>
        <v>712.10627428250189</v>
      </c>
      <c r="K313">
        <v>2.85254481230296</v>
      </c>
      <c r="L313" s="6">
        <v>8.2571489851290501E-33</v>
      </c>
      <c r="M313" s="6">
        <f t="shared" si="355"/>
        <v>2992423820806708.5</v>
      </c>
      <c r="N313" s="6">
        <f t="shared" si="356"/>
        <v>5.6297381614888739E-6</v>
      </c>
      <c r="O313" s="6">
        <f t="shared" si="357"/>
        <v>16846562579.34387</v>
      </c>
    </row>
    <row r="314" spans="1:26">
      <c r="J314">
        <f t="shared" si="354"/>
        <v>695.29791762103264</v>
      </c>
      <c r="K314">
        <v>2.84217092869951</v>
      </c>
      <c r="L314" s="6">
        <v>8.0887684820428203E-33</v>
      </c>
      <c r="M314" s="6">
        <f t="shared" si="355"/>
        <v>2931402052966246</v>
      </c>
      <c r="N314" s="6">
        <f t="shared" si="356"/>
        <v>5.7658332719887797E-6</v>
      </c>
      <c r="O314" s="6">
        <f t="shared" si="357"/>
        <v>16901975490.568996</v>
      </c>
    </row>
    <row r="315" spans="1:26">
      <c r="J315">
        <f t="shared" si="354"/>
        <v>691.56043253597977</v>
      </c>
      <c r="K315">
        <v>2.83983013725824</v>
      </c>
      <c r="L315" s="6">
        <v>6.56151478964912E-33</v>
      </c>
      <c r="M315" s="6">
        <f t="shared" si="355"/>
        <v>2377919205827999.5</v>
      </c>
      <c r="N315" s="6">
        <f t="shared" si="356"/>
        <v>5.7969942737510349E-6</v>
      </c>
      <c r="O315" s="6">
        <f t="shared" si="357"/>
        <v>13784784019.627522</v>
      </c>
    </row>
    <row r="318" spans="1:26">
      <c r="D318" t="s">
        <v>73</v>
      </c>
      <c r="E318" t="s">
        <v>72</v>
      </c>
      <c r="F318" s="33" t="s">
        <v>63</v>
      </c>
      <c r="G318" t="s">
        <v>63</v>
      </c>
      <c r="H318" s="33" t="s">
        <v>63</v>
      </c>
      <c r="I318" s="33"/>
      <c r="J318" s="33" t="s">
        <v>64</v>
      </c>
      <c r="L318" s="33" t="s">
        <v>64</v>
      </c>
      <c r="N318" t="s">
        <v>72</v>
      </c>
      <c r="O318" t="s">
        <v>73</v>
      </c>
    </row>
    <row r="319" spans="1:26">
      <c r="D319" s="33" t="s">
        <v>75</v>
      </c>
      <c r="E319" s="33" t="s">
        <v>75</v>
      </c>
      <c r="F319" t="s">
        <v>68</v>
      </c>
      <c r="G319" t="s">
        <v>69</v>
      </c>
      <c r="H319" s="33" t="s">
        <v>62</v>
      </c>
      <c r="J319" s="33" t="s">
        <v>62</v>
      </c>
      <c r="L319" s="33" t="s">
        <v>68</v>
      </c>
      <c r="M319" t="s">
        <v>70</v>
      </c>
      <c r="N319" s="33" t="s">
        <v>71</v>
      </c>
    </row>
    <row r="320" spans="1:26">
      <c r="D320">
        <f>6.06E+27*I320^(-3.31)*EXP(-120770*4.184/8.314/I320)</f>
        <v>2.865945919352081E-9</v>
      </c>
      <c r="E320">
        <f>D320*2</f>
        <v>5.7318918387041621E-9</v>
      </c>
      <c r="F320">
        <f t="shared" ref="F320:F330" si="361">70000000000000*EXP(-300/1.98726/I320)</f>
        <v>60191648682950.742</v>
      </c>
      <c r="G320">
        <f t="shared" ref="G320:G330" si="362">3660000*I320^2.087*EXP(1450*4.184/8.314/I320)</f>
        <v>13848082583017.613</v>
      </c>
      <c r="H320" s="33">
        <f t="shared" ref="H320:H330" si="363">112000000000000*EXP(-7805/I320)</f>
        <v>45661438731.623596</v>
      </c>
      <c r="I320" s="33">
        <v>1000</v>
      </c>
      <c r="J320" s="33">
        <f>83000000000000*EXP(-14413/1.98726/I320)</f>
        <v>58785556660.649948</v>
      </c>
      <c r="K320" s="33">
        <f t="shared" ref="K320:K330" si="364">J320/H320</f>
        <v>1.2874223479063751</v>
      </c>
      <c r="L320">
        <f>134000000000000*EXP(-635/1.98726/I320)</f>
        <v>97349184928375.844</v>
      </c>
      <c r="M320">
        <f>28300000000000*EXP(-1068/1.98726/I320)</f>
        <v>16534323256809.32</v>
      </c>
      <c r="N320">
        <f>2.2E+22*I320^(-2)</f>
        <v>2.2E+16</v>
      </c>
      <c r="O320">
        <f>N320*0.38</f>
        <v>8360000000000000</v>
      </c>
    </row>
    <row r="321" spans="4:19">
      <c r="D321">
        <f t="shared" ref="D321:D330" si="365">6.06E+27*I321^(-3.31)*EXP(-120770*4.184/8.314/I321)</f>
        <v>5.2459272151036825E-7</v>
      </c>
      <c r="E321">
        <f t="shared" ref="E321:E330" si="366">D321*2</f>
        <v>1.0491854430207365E-6</v>
      </c>
      <c r="F321">
        <f t="shared" si="361"/>
        <v>61023400211349.367</v>
      </c>
      <c r="G321">
        <f t="shared" si="362"/>
        <v>15811253789780.594</v>
      </c>
      <c r="H321" s="33">
        <f t="shared" si="363"/>
        <v>92832760936.225571</v>
      </c>
      <c r="I321" s="33">
        <v>1100</v>
      </c>
      <c r="J321" s="33">
        <f t="shared" ref="J321:J330" si="367">83000000000000*EXP(-14413/1.98726/I321)</f>
        <v>113662385741.24643</v>
      </c>
      <c r="K321" s="33">
        <f t="shared" si="364"/>
        <v>1.2243779522977931</v>
      </c>
      <c r="L321">
        <f t="shared" ref="L321:L330" si="368">134000000000000*EXP(-635/1.98726/I321)</f>
        <v>100218523378840.78</v>
      </c>
      <c r="M321">
        <f t="shared" ref="M321:M330" si="369">28300000000000*EXP(-1068/1.98726/I321)</f>
        <v>17362194095183.996</v>
      </c>
      <c r="N321">
        <f t="shared" ref="N321:N330" si="370">2.2E+22*I321^(-2)</f>
        <v>1.818181818181818E+16</v>
      </c>
      <c r="O321">
        <f t="shared" ref="O321:O330" si="371">N321*0.38</f>
        <v>6909090909090908</v>
      </c>
      <c r="P321" s="24"/>
      <c r="Q321" s="24"/>
      <c r="R321" s="24"/>
      <c r="S321" s="24"/>
    </row>
    <row r="322" spans="4:19">
      <c r="D322">
        <f t="shared" si="365"/>
        <v>3.9298759232458413E-5</v>
      </c>
      <c r="E322">
        <f t="shared" si="366"/>
        <v>7.8597518464916825E-5</v>
      </c>
      <c r="F322">
        <f t="shared" si="361"/>
        <v>61725299502100.617</v>
      </c>
      <c r="G322">
        <f t="shared" si="362"/>
        <v>17940015422501.109</v>
      </c>
      <c r="H322" s="33">
        <f t="shared" si="363"/>
        <v>167685044305.76447</v>
      </c>
      <c r="I322" s="33">
        <v>1200</v>
      </c>
      <c r="J322" s="33">
        <f t="shared" si="367"/>
        <v>196896748599.10428</v>
      </c>
      <c r="K322" s="33">
        <f t="shared" si="364"/>
        <v>1.1742057821213554</v>
      </c>
      <c r="L322">
        <f t="shared" si="368"/>
        <v>102674138164411.27</v>
      </c>
      <c r="M322">
        <f t="shared" si="369"/>
        <v>18083663871071.367</v>
      </c>
      <c r="N322">
        <f t="shared" si="370"/>
        <v>1.5277777777777778E+16</v>
      </c>
      <c r="O322">
        <f t="shared" si="371"/>
        <v>5805555555555556</v>
      </c>
    </row>
    <row r="323" spans="4:19">
      <c r="D323" s="24">
        <f t="shared" si="365"/>
        <v>1.48359910966643E-3</v>
      </c>
      <c r="E323" s="24">
        <f t="shared" si="366"/>
        <v>2.9671982193328599E-3</v>
      </c>
      <c r="F323" s="24">
        <f t="shared" si="361"/>
        <v>62325516382832.43</v>
      </c>
      <c r="G323" s="24">
        <f t="shared" si="362"/>
        <v>20232832052572.172</v>
      </c>
      <c r="H323" s="32">
        <f t="shared" si="363"/>
        <v>276554524392.35199</v>
      </c>
      <c r="I323" s="32">
        <v>1300</v>
      </c>
      <c r="J323" s="32">
        <f t="shared" si="367"/>
        <v>313436290649.28101</v>
      </c>
      <c r="K323" s="32">
        <f t="shared" si="364"/>
        <v>1.1333616448256125</v>
      </c>
      <c r="L323" s="24">
        <f t="shared" si="368"/>
        <v>104798903291919.98</v>
      </c>
      <c r="M323" s="24">
        <f t="shared" si="369"/>
        <v>18717505318785.777</v>
      </c>
      <c r="N323" s="24">
        <f t="shared" si="370"/>
        <v>1.301775147928994E+16</v>
      </c>
      <c r="O323" s="24">
        <f t="shared" si="371"/>
        <v>4946745562130177</v>
      </c>
      <c r="P323" s="24"/>
      <c r="Q323" s="24"/>
      <c r="R323" s="24"/>
      <c r="S323" s="24"/>
    </row>
    <row r="324" spans="4:19">
      <c r="D324">
        <f t="shared" si="365"/>
        <v>3.2739438815458717E-2</v>
      </c>
      <c r="E324">
        <f t="shared" si="366"/>
        <v>6.5478877630917434E-2</v>
      </c>
      <c r="F324">
        <f t="shared" si="361"/>
        <v>62844631235007.141</v>
      </c>
      <c r="G324">
        <f t="shared" si="362"/>
        <v>22688905828933.43</v>
      </c>
      <c r="H324" s="33">
        <f t="shared" si="363"/>
        <v>424645265200.6441</v>
      </c>
      <c r="I324" s="33">
        <v>1400</v>
      </c>
      <c r="J324" s="33">
        <f t="shared" si="367"/>
        <v>466891129535.2876</v>
      </c>
      <c r="K324" s="33">
        <f t="shared" si="364"/>
        <v>1.0994850709442914</v>
      </c>
      <c r="L324">
        <f t="shared" si="368"/>
        <v>106655093138222.58</v>
      </c>
      <c r="M324">
        <f t="shared" si="369"/>
        <v>19278451254065.953</v>
      </c>
      <c r="N324">
        <f t="shared" si="370"/>
        <v>1.1224489795918366E+16</v>
      </c>
      <c r="O324">
        <f t="shared" si="371"/>
        <v>4265306122448979</v>
      </c>
    </row>
    <row r="325" spans="4:19">
      <c r="D325">
        <f t="shared" si="365"/>
        <v>0.47076857826615393</v>
      </c>
      <c r="E325">
        <f t="shared" si="366"/>
        <v>0.94153715653230785</v>
      </c>
      <c r="F325">
        <f t="shared" si="361"/>
        <v>63298026918860.695</v>
      </c>
      <c r="G325">
        <f t="shared" si="362"/>
        <v>25307888708113.121</v>
      </c>
      <c r="H325" s="33">
        <f t="shared" si="363"/>
        <v>615799126459.68396</v>
      </c>
      <c r="I325" s="33">
        <v>1500</v>
      </c>
      <c r="J325" s="33">
        <f t="shared" si="367"/>
        <v>659487326669.30298</v>
      </c>
      <c r="K325" s="33">
        <f t="shared" si="364"/>
        <v>1.0709455378100139</v>
      </c>
      <c r="L325">
        <f t="shared" si="368"/>
        <v>108290363761759.47</v>
      </c>
      <c r="M325">
        <f t="shared" si="369"/>
        <v>19778184684227.445</v>
      </c>
      <c r="N325">
        <f t="shared" si="370"/>
        <v>9777777777777778</v>
      </c>
      <c r="O325">
        <f t="shared" si="371"/>
        <v>3715555555555555.5</v>
      </c>
    </row>
    <row r="326" spans="4:19">
      <c r="D326">
        <f t="shared" si="365"/>
        <v>4.7844562297395319</v>
      </c>
      <c r="E326">
        <f t="shared" si="366"/>
        <v>9.5689124594790638</v>
      </c>
      <c r="F326">
        <f t="shared" si="361"/>
        <v>63697430616738.547</v>
      </c>
      <c r="G326">
        <f t="shared" si="362"/>
        <v>28089715386405.773</v>
      </c>
      <c r="H326" s="33">
        <f t="shared" si="363"/>
        <v>852462440631.84277</v>
      </c>
      <c r="I326" s="33">
        <v>1600</v>
      </c>
      <c r="J326" s="33">
        <f t="shared" si="367"/>
        <v>892171676147.00183</v>
      </c>
      <c r="K326" s="33">
        <f t="shared" si="364"/>
        <v>1.0465818007016552</v>
      </c>
      <c r="L326">
        <f t="shared" si="368"/>
        <v>109741779760914.03</v>
      </c>
      <c r="M326">
        <f t="shared" si="369"/>
        <v>20226066388107.352</v>
      </c>
      <c r="N326">
        <f t="shared" si="370"/>
        <v>8593750000000000</v>
      </c>
      <c r="O326">
        <f t="shared" si="371"/>
        <v>3265625000000000</v>
      </c>
    </row>
    <row r="327" spans="4:19">
      <c r="D327">
        <f t="shared" si="365"/>
        <v>36.567539037812978</v>
      </c>
      <c r="E327">
        <f t="shared" si="366"/>
        <v>73.135078075625955</v>
      </c>
      <c r="F327">
        <f t="shared" si="361"/>
        <v>64051938022061.437</v>
      </c>
      <c r="G327">
        <f t="shared" si="362"/>
        <v>31034502225252.477</v>
      </c>
      <c r="H327" s="33">
        <f t="shared" si="363"/>
        <v>1135783136045.822</v>
      </c>
      <c r="I327" s="33">
        <v>1700</v>
      </c>
      <c r="J327" s="33">
        <f t="shared" si="367"/>
        <v>1164796819964.262</v>
      </c>
      <c r="K327" s="33">
        <f t="shared" si="364"/>
        <v>1.0255450913098163</v>
      </c>
      <c r="L327">
        <f t="shared" si="368"/>
        <v>111038587493277.86</v>
      </c>
      <c r="M327">
        <f t="shared" si="369"/>
        <v>20629671438159.609</v>
      </c>
      <c r="N327">
        <f t="shared" si="370"/>
        <v>7612456747404844</v>
      </c>
      <c r="O327">
        <f t="shared" si="371"/>
        <v>2892733564013841</v>
      </c>
    </row>
    <row r="328" spans="4:19">
      <c r="D328">
        <f t="shared" si="365"/>
        <v>220.55558430652241</v>
      </c>
      <c r="E328">
        <f t="shared" si="366"/>
        <v>441.11116861304481</v>
      </c>
      <c r="F328">
        <f t="shared" si="361"/>
        <v>64368711726656.859</v>
      </c>
      <c r="G328">
        <f t="shared" si="362"/>
        <v>34142483981145.488</v>
      </c>
      <c r="H328" s="33">
        <f t="shared" si="363"/>
        <v>1465780346208.0549</v>
      </c>
      <c r="I328" s="33">
        <v>1800</v>
      </c>
      <c r="J328" s="33">
        <f t="shared" si="367"/>
        <v>1476335491793.4832</v>
      </c>
      <c r="K328" s="33">
        <f t="shared" si="364"/>
        <v>1.0072010418291759</v>
      </c>
      <c r="L328">
        <f t="shared" si="368"/>
        <v>112204164666683.75</v>
      </c>
      <c r="M328">
        <f t="shared" si="369"/>
        <v>20995187742193.492</v>
      </c>
      <c r="N328">
        <f t="shared" si="370"/>
        <v>6790123456790124</v>
      </c>
      <c r="O328">
        <f t="shared" si="371"/>
        <v>2580246913580247</v>
      </c>
    </row>
    <row r="329" spans="4:19">
      <c r="D329">
        <f t="shared" si="365"/>
        <v>1090.3984868856512</v>
      </c>
      <c r="E329">
        <f t="shared" si="366"/>
        <v>2180.7969737713024</v>
      </c>
      <c r="F329">
        <f t="shared" si="361"/>
        <v>64653468545979.016</v>
      </c>
      <c r="G329">
        <f t="shared" si="362"/>
        <v>37413973061632.984</v>
      </c>
      <c r="H329" s="33">
        <f t="shared" si="363"/>
        <v>1841543602724.5371</v>
      </c>
      <c r="I329" s="33">
        <v>1900</v>
      </c>
      <c r="J329" s="33">
        <f t="shared" si="367"/>
        <v>1825091715641.0222</v>
      </c>
      <c r="K329" s="33">
        <f t="shared" si="364"/>
        <v>0.99106625167105755</v>
      </c>
      <c r="L329">
        <f t="shared" si="368"/>
        <v>113257416738532.91</v>
      </c>
      <c r="M329">
        <f t="shared" si="369"/>
        <v>21327714782892.719</v>
      </c>
      <c r="N329">
        <f t="shared" si="370"/>
        <v>6094182825484765</v>
      </c>
      <c r="O329">
        <f t="shared" si="371"/>
        <v>2315789473684210.5</v>
      </c>
    </row>
    <row r="330" spans="4:19">
      <c r="D330">
        <f t="shared" si="365"/>
        <v>4554.7130562129441</v>
      </c>
      <c r="E330">
        <f t="shared" si="366"/>
        <v>9109.4261124258883</v>
      </c>
      <c r="F330">
        <f t="shared" si="361"/>
        <v>64910826583910.883</v>
      </c>
      <c r="G330">
        <f t="shared" si="362"/>
        <v>40849332661875.93</v>
      </c>
      <c r="H330" s="33">
        <f t="shared" si="363"/>
        <v>2261433425494.0698</v>
      </c>
      <c r="I330" s="33">
        <v>2000</v>
      </c>
      <c r="J330" s="33">
        <f t="shared" si="367"/>
        <v>2208891396794.769</v>
      </c>
      <c r="K330" s="33">
        <f t="shared" si="364"/>
        <v>0.97676605107761616</v>
      </c>
      <c r="L330">
        <f t="shared" si="368"/>
        <v>114213794177421.34</v>
      </c>
      <c r="M330">
        <f t="shared" si="369"/>
        <v>21631489735284.152</v>
      </c>
      <c r="N330">
        <f t="shared" si="370"/>
        <v>5500000000000000</v>
      </c>
      <c r="O330">
        <f t="shared" si="371"/>
        <v>2090000000000000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8"/>
  <sheetViews>
    <sheetView topLeftCell="B7" workbookViewId="0">
      <selection activeCell="Q38" sqref="Q38"/>
    </sheetView>
  </sheetViews>
  <sheetFormatPr defaultColWidth="11.5703125" defaultRowHeight="12.75"/>
  <cols>
    <col min="2" max="2" width="14.28515625" customWidth="1"/>
    <col min="3" max="3" width="12.42578125" bestFit="1" customWidth="1"/>
    <col min="4" max="4" width="6.7109375" customWidth="1"/>
    <col min="5" max="5" width="7.140625" customWidth="1"/>
    <col min="6" max="6" width="8.85546875" bestFit="1" customWidth="1"/>
    <col min="7" max="7" width="9.7109375" customWidth="1"/>
    <col min="8" max="8" width="5.140625" bestFit="1" customWidth="1"/>
    <col min="9" max="9" width="7" bestFit="1" customWidth="1"/>
    <col min="10" max="10" width="8.42578125" bestFit="1" customWidth="1"/>
    <col min="11" max="11" width="9" bestFit="1" customWidth="1"/>
    <col min="12" max="12" width="9.7109375" customWidth="1"/>
    <col min="13" max="13" width="9.140625" customWidth="1"/>
    <col min="14" max="14" width="7.5703125" customWidth="1"/>
    <col min="15" max="15" width="6.140625" customWidth="1"/>
    <col min="16" max="16" width="10.140625" bestFit="1" customWidth="1"/>
    <col min="17" max="17" width="9" bestFit="1" customWidth="1"/>
    <col min="18" max="18" width="12.42578125" bestFit="1" customWidth="1"/>
    <col min="20" max="20" width="7" customWidth="1"/>
    <col min="21" max="21" width="9.85546875" customWidth="1"/>
    <col min="22" max="22" width="9.42578125" customWidth="1"/>
    <col min="23" max="23" width="10" customWidth="1"/>
    <col min="24" max="24" width="12.42578125" bestFit="1" customWidth="1"/>
    <col min="25" max="25" width="9.5703125" bestFit="1" customWidth="1"/>
    <col min="26" max="26" width="8.28515625" bestFit="1" customWidth="1"/>
  </cols>
  <sheetData>
    <row r="1" spans="1:35">
      <c r="A1" t="s">
        <v>0</v>
      </c>
    </row>
    <row r="2" spans="1:35">
      <c r="E2" s="6"/>
    </row>
    <row r="3" spans="1:35">
      <c r="S3" s="6"/>
    </row>
    <row r="4" spans="1:35">
      <c r="A4" t="s">
        <v>1</v>
      </c>
      <c r="B4" s="6">
        <v>55900000000000</v>
      </c>
      <c r="C4" s="1"/>
      <c r="D4" s="1"/>
      <c r="E4" s="1"/>
      <c r="F4" s="1"/>
    </row>
    <row r="5" spans="1:35">
      <c r="A5" t="s">
        <v>2</v>
      </c>
      <c r="B5" s="10">
        <v>0.2</v>
      </c>
      <c r="Q5" t="s">
        <v>20</v>
      </c>
      <c r="S5" s="14"/>
      <c r="T5" s="14"/>
      <c r="U5" s="14"/>
    </row>
    <row r="6" spans="1:35" ht="15.75">
      <c r="A6" t="s">
        <v>3</v>
      </c>
      <c r="B6" s="10">
        <v>0</v>
      </c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>
        <f>760*2.4</f>
        <v>1824</v>
      </c>
      <c r="Q6" t="s">
        <v>16</v>
      </c>
      <c r="S6" s="15"/>
      <c r="T6" s="18"/>
      <c r="U6" s="17"/>
    </row>
    <row r="7" spans="1:35" ht="15.75">
      <c r="A7" t="s">
        <v>1</v>
      </c>
      <c r="B7" s="6">
        <v>7.76E+18</v>
      </c>
      <c r="C7" s="6">
        <v>6.71E+18</v>
      </c>
      <c r="D7" s="3">
        <f>10^E7</f>
        <v>0.94620161967759298</v>
      </c>
      <c r="E7" s="3">
        <f t="shared" ref="E7:E17" si="0">LOG(J7)/(1+(F7/(I7-0.14*F7))^2)</f>
        <v>-2.4016312875448524E-2</v>
      </c>
      <c r="F7" s="3">
        <f t="shared" ref="F7:F17" si="1">LOG(G7)+H7</f>
        <v>-3.2831570776117491</v>
      </c>
      <c r="G7" s="4">
        <f t="shared" ref="G7:G17" si="2">M7*K7/L7</f>
        <v>1.0305251831779594E-3</v>
      </c>
      <c r="H7" s="3">
        <f>-0.4-0.67*LOG(J7)</f>
        <v>-0.29621568680955207</v>
      </c>
      <c r="I7" s="3">
        <f t="shared" ref="I7:I17" si="3">0.75-1.27*LOG(J7)</f>
        <v>0.94672548918189381</v>
      </c>
      <c r="J7" s="4">
        <f>(1-$B$10)*EXP(-O7/$B$11)+$B$10*EXP(-O7/$B$12)+EXP(-B$13/O7)</f>
        <v>0.7</v>
      </c>
      <c r="K7">
        <v>1.20796E-4</v>
      </c>
      <c r="L7" s="9">
        <f>B$4*O7^B$5*EXP(-B$6/1.987/O7)</f>
        <v>223381212888096.81</v>
      </c>
      <c r="M7" s="4">
        <f>$B$7*O7^$B$8*EXP(-$B$9/1.987/O7)</f>
        <v>1905691954452305.5</v>
      </c>
      <c r="N7" s="3">
        <f t="shared" ref="N7:N17" si="4">10000/O7</f>
        <v>9.8135426889106974</v>
      </c>
      <c r="O7">
        <v>1019</v>
      </c>
      <c r="P7" s="13"/>
      <c r="Q7" s="20">
        <f t="shared" ref="Q7:Q17" si="5">L7/(1+L7/M7/K7)*D7</f>
        <v>217591346682.59329</v>
      </c>
      <c r="R7" s="20"/>
      <c r="S7" s="6"/>
      <c r="T7" s="19"/>
      <c r="U7" s="17"/>
      <c r="V7" s="5"/>
      <c r="W7" s="9"/>
      <c r="X7" s="4"/>
      <c r="Y7" s="6"/>
      <c r="AI7" s="6"/>
    </row>
    <row r="8" spans="1:35" ht="15.75">
      <c r="A8" t="s">
        <v>2</v>
      </c>
      <c r="B8" s="11">
        <v>-1.2</v>
      </c>
      <c r="C8" s="6">
        <v>6.36E+18</v>
      </c>
      <c r="D8" s="3">
        <f>10^E8</f>
        <v>0.93806389109840027</v>
      </c>
      <c r="E8" s="3">
        <f t="shared" si="0"/>
        <v>-2.7767581016969554E-2</v>
      </c>
      <c r="F8" s="3">
        <f t="shared" si="1"/>
        <v>-2.8921344069923789</v>
      </c>
      <c r="G8" s="4">
        <f t="shared" si="2"/>
        <v>2.5356031335904976E-3</v>
      </c>
      <c r="H8" s="3">
        <f t="shared" ref="H8:H17" si="6">-0.4-0.67*LOG(J8)</f>
        <v>-0.29621568680955207</v>
      </c>
      <c r="I8" s="3">
        <f t="shared" si="3"/>
        <v>0.94672548918189381</v>
      </c>
      <c r="J8" s="4">
        <f t="shared" ref="J8:J19" si="7">(1-$B$10)*EXP(-O8/$B$11)+$B$10*EXP(-O8/$B$12)+EXP(-B$13/O8)</f>
        <v>0.7</v>
      </c>
      <c r="K8">
        <v>3.0788899999999999E-4</v>
      </c>
      <c r="L8" s="9">
        <f t="shared" ref="L8:L19" si="8">B$4*O8^B$5*EXP(-B$6/1.987/O8)</f>
        <v>224509677473815.69</v>
      </c>
      <c r="M8" s="4">
        <f t="shared" ref="M8:M17" si="9">$B$7*O8^$B$8*EXP(-$B$9/1.987/O8)</f>
        <v>1848937252464359</v>
      </c>
      <c r="N8" s="3">
        <f t="shared" si="4"/>
        <v>9.5693779904306222</v>
      </c>
      <c r="O8">
        <v>1045</v>
      </c>
      <c r="P8" s="13"/>
      <c r="Q8" s="4">
        <f t="shared" si="5"/>
        <v>532658620591.73993</v>
      </c>
      <c r="R8" s="4"/>
      <c r="S8" s="6"/>
      <c r="T8" s="19"/>
      <c r="U8" s="17"/>
      <c r="V8" s="5"/>
      <c r="W8" s="9"/>
      <c r="X8" s="4"/>
      <c r="Y8" s="6"/>
      <c r="AI8" s="6"/>
    </row>
    <row r="9" spans="1:35" ht="15.75">
      <c r="A9" t="s">
        <v>3</v>
      </c>
      <c r="B9" s="10">
        <v>0</v>
      </c>
      <c r="C9" s="6">
        <v>7.46E+18</v>
      </c>
      <c r="D9" s="3">
        <f t="shared" ref="D9:D17" si="10">10^E9</f>
        <v>0.94632831306432807</v>
      </c>
      <c r="E9" s="3">
        <f t="shared" si="0"/>
        <v>-2.3958166118683493E-2</v>
      </c>
      <c r="F9" s="3">
        <f t="shared" si="1"/>
        <v>-3.290161372276359</v>
      </c>
      <c r="G9" s="4">
        <f t="shared" si="2"/>
        <v>1.0140381973119917E-3</v>
      </c>
      <c r="H9" s="3">
        <f t="shared" si="6"/>
        <v>-0.29621568680955207</v>
      </c>
      <c r="I9" s="3">
        <f t="shared" si="3"/>
        <v>0.94672548918189381</v>
      </c>
      <c r="J9" s="4">
        <f t="shared" si="7"/>
        <v>0.7</v>
      </c>
      <c r="K9">
        <v>1.2810799999999999E-4</v>
      </c>
      <c r="L9" s="9">
        <f t="shared" si="8"/>
        <v>225784175713277.97</v>
      </c>
      <c r="M9" s="4">
        <f t="shared" si="9"/>
        <v>1787193450228451</v>
      </c>
      <c r="N9" s="3">
        <f t="shared" si="4"/>
        <v>9.3023255813953494</v>
      </c>
      <c r="O9">
        <v>1075</v>
      </c>
      <c r="P9" s="13"/>
      <c r="Q9" s="20">
        <f t="shared" si="5"/>
        <v>216445958528.69968</v>
      </c>
      <c r="R9" s="20"/>
      <c r="S9" s="6"/>
      <c r="T9" s="19"/>
      <c r="U9" s="17"/>
      <c r="V9" s="5"/>
      <c r="W9" s="9"/>
      <c r="X9" s="4"/>
      <c r="Y9" s="6"/>
      <c r="AI9" s="6"/>
    </row>
    <row r="10" spans="1:35" ht="15.75">
      <c r="A10" t="s">
        <v>1</v>
      </c>
      <c r="B10" s="11">
        <v>0.7</v>
      </c>
      <c r="C10" s="6">
        <v>7.31E+18</v>
      </c>
      <c r="D10" s="3">
        <f t="shared" si="10"/>
        <v>0.93973612312366939</v>
      </c>
      <c r="E10" s="3">
        <f t="shared" si="0"/>
        <v>-2.6994078697750244E-2</v>
      </c>
      <c r="F10" s="3">
        <f t="shared" si="1"/>
        <v>-2.9641276923719131</v>
      </c>
      <c r="G10" s="4">
        <f t="shared" si="2"/>
        <v>2.1482657002056551E-3</v>
      </c>
      <c r="H10" s="3">
        <f t="shared" si="6"/>
        <v>-0.29621568680955207</v>
      </c>
      <c r="I10" s="3">
        <f t="shared" si="3"/>
        <v>0.94672548918189381</v>
      </c>
      <c r="J10" s="4">
        <f t="shared" si="7"/>
        <v>0.7</v>
      </c>
      <c r="K10">
        <v>2.7246099999999999E-4</v>
      </c>
      <c r="L10" s="9">
        <f t="shared" si="8"/>
        <v>225910054350724.5</v>
      </c>
      <c r="M10" s="4">
        <f t="shared" si="9"/>
        <v>1781226748390620</v>
      </c>
      <c r="N10" s="3">
        <f t="shared" si="4"/>
        <v>9.2764378478664185</v>
      </c>
      <c r="O10">
        <v>1078</v>
      </c>
      <c r="P10" s="13"/>
      <c r="Q10" s="4">
        <f t="shared" si="5"/>
        <v>455090213771.88885</v>
      </c>
      <c r="R10" s="4"/>
      <c r="S10" s="6"/>
      <c r="T10" s="14"/>
      <c r="U10" s="17"/>
      <c r="V10" s="5"/>
      <c r="W10" s="9"/>
      <c r="X10" s="4"/>
      <c r="Y10" s="6"/>
      <c r="AI10" s="6"/>
    </row>
    <row r="11" spans="1:35" ht="15.75">
      <c r="A11" t="s">
        <v>18</v>
      </c>
      <c r="B11" s="10">
        <v>1E-4</v>
      </c>
      <c r="C11" s="6">
        <v>7.26E+18</v>
      </c>
      <c r="D11" s="3">
        <f t="shared" si="10"/>
        <v>0.93736890929301675</v>
      </c>
      <c r="E11" s="3">
        <f t="shared" si="0"/>
        <v>-2.8089455281783769E-2</v>
      </c>
      <c r="F11" s="3">
        <f t="shared" si="1"/>
        <v>-2.863295295592021</v>
      </c>
      <c r="G11" s="4">
        <f t="shared" si="2"/>
        <v>2.709694883044904E-3</v>
      </c>
      <c r="H11" s="3">
        <f t="shared" si="6"/>
        <v>-0.29621568680955207</v>
      </c>
      <c r="I11" s="3">
        <f t="shared" si="3"/>
        <v>0.94672548918189381</v>
      </c>
      <c r="J11" s="4">
        <f t="shared" si="7"/>
        <v>0.7</v>
      </c>
      <c r="K11">
        <v>3.52176E-4</v>
      </c>
      <c r="L11" s="9">
        <f t="shared" si="8"/>
        <v>226700842124647.22</v>
      </c>
      <c r="M11" s="4">
        <f t="shared" si="9"/>
        <v>1744270228201601.5</v>
      </c>
      <c r="N11" s="3">
        <f t="shared" si="4"/>
        <v>9.115770282588878</v>
      </c>
      <c r="O11">
        <v>1097</v>
      </c>
      <c r="P11" s="13"/>
      <c r="Q11" s="4">
        <f t="shared" si="5"/>
        <v>574260381751.15515</v>
      </c>
      <c r="R11" s="4"/>
      <c r="S11" s="6"/>
      <c r="T11" s="14"/>
      <c r="U11" s="17"/>
      <c r="V11" s="5"/>
      <c r="W11" s="9"/>
      <c r="X11" s="4"/>
      <c r="Y11" s="6"/>
      <c r="AI11" s="6"/>
    </row>
    <row r="12" spans="1:35" ht="15.75">
      <c r="A12" t="s">
        <v>8</v>
      </c>
      <c r="B12" s="6">
        <v>1E+30</v>
      </c>
      <c r="C12" s="6">
        <v>6.06E+18</v>
      </c>
      <c r="D12" s="3">
        <f t="shared" si="10"/>
        <v>0.92855360821035127</v>
      </c>
      <c r="E12" s="3">
        <f t="shared" si="0"/>
        <v>-3.2193018065434585E-2</v>
      </c>
      <c r="F12" s="3">
        <f t="shared" si="1"/>
        <v>-2.5435679449447561</v>
      </c>
      <c r="G12" s="4">
        <f t="shared" si="2"/>
        <v>5.6578019610982883E-3</v>
      </c>
      <c r="H12" s="3">
        <f t="shared" si="6"/>
        <v>-0.29621568680955207</v>
      </c>
      <c r="I12" s="3">
        <f t="shared" si="3"/>
        <v>0.94672548918189381</v>
      </c>
      <c r="J12" s="4">
        <f t="shared" si="7"/>
        <v>0.7</v>
      </c>
      <c r="K12">
        <v>7.4379800000000005E-4</v>
      </c>
      <c r="L12" s="9">
        <f t="shared" si="8"/>
        <v>227071606886596.31</v>
      </c>
      <c r="M12" s="4">
        <f t="shared" si="9"/>
        <v>1727251461758063.2</v>
      </c>
      <c r="N12" s="3">
        <f t="shared" si="4"/>
        <v>9.0415913200723335</v>
      </c>
      <c r="O12">
        <v>1106</v>
      </c>
      <c r="P12" s="13"/>
      <c r="Q12" s="4">
        <f t="shared" si="5"/>
        <v>1186225702451.7166</v>
      </c>
      <c r="R12" s="4"/>
      <c r="S12" s="6"/>
      <c r="T12" s="14"/>
      <c r="U12" s="17"/>
      <c r="V12" s="5"/>
      <c r="W12" s="9"/>
      <c r="X12" s="4"/>
      <c r="Y12" s="6"/>
      <c r="AI12" s="6"/>
    </row>
    <row r="13" spans="1:35" ht="15.75">
      <c r="A13" t="s">
        <v>19</v>
      </c>
      <c r="B13" s="6">
        <v>1E+30</v>
      </c>
      <c r="C13" s="6">
        <v>6.86E+18</v>
      </c>
      <c r="D13" s="3">
        <f t="shared" si="10"/>
        <v>0.9374534431997581</v>
      </c>
      <c r="E13" s="3">
        <f t="shared" si="0"/>
        <v>-2.8050291454653598E-2</v>
      </c>
      <c r="F13" s="3">
        <f t="shared" si="1"/>
        <v>-2.8667705222132036</v>
      </c>
      <c r="G13" s="4">
        <f t="shared" si="2"/>
        <v>2.6880984137743289E-3</v>
      </c>
      <c r="H13" s="3">
        <f t="shared" si="6"/>
        <v>-0.29621568680955207</v>
      </c>
      <c r="I13" s="3">
        <f t="shared" si="3"/>
        <v>0.94672548918189381</v>
      </c>
      <c r="J13" s="4">
        <f t="shared" si="7"/>
        <v>0.7</v>
      </c>
      <c r="K13">
        <v>3.5742100000000002E-4</v>
      </c>
      <c r="L13" s="9">
        <f t="shared" si="8"/>
        <v>227439965792379.06</v>
      </c>
      <c r="M13" s="4">
        <f t="shared" si="9"/>
        <v>1710534667172275.2</v>
      </c>
      <c r="N13" s="3">
        <f t="shared" si="4"/>
        <v>8.9686098654708513</v>
      </c>
      <c r="O13">
        <v>1115</v>
      </c>
      <c r="P13" s="13"/>
      <c r="Q13" s="4">
        <f t="shared" si="5"/>
        <v>571604704427.77856</v>
      </c>
      <c r="R13" s="4"/>
      <c r="S13" s="6"/>
      <c r="U13" s="17"/>
      <c r="V13" s="5"/>
      <c r="W13" s="9"/>
      <c r="X13" s="4"/>
      <c r="Y13" s="6"/>
      <c r="AI13" s="6"/>
    </row>
    <row r="14" spans="1:35" ht="15.75">
      <c r="C14" s="6">
        <v>7.31E+18</v>
      </c>
      <c r="D14" s="3">
        <f t="shared" si="10"/>
        <v>0.92911674151324264</v>
      </c>
      <c r="E14" s="3">
        <f t="shared" si="0"/>
        <v>-3.1929714413579051E-2</v>
      </c>
      <c r="F14" s="3">
        <f t="shared" si="1"/>
        <v>-2.5617750518099047</v>
      </c>
      <c r="G14" s="4">
        <f t="shared" si="2"/>
        <v>5.4255108334384013E-3</v>
      </c>
      <c r="H14" s="3">
        <f t="shared" si="6"/>
        <v>-0.29621568680955207</v>
      </c>
      <c r="I14" s="3">
        <f t="shared" si="3"/>
        <v>0.94672548918189381</v>
      </c>
      <c r="J14" s="4">
        <f t="shared" si="7"/>
        <v>0.7</v>
      </c>
      <c r="K14">
        <v>7.2139899999999996E-4</v>
      </c>
      <c r="L14" s="9">
        <f t="shared" si="8"/>
        <v>227439965792379.06</v>
      </c>
      <c r="M14" s="4">
        <f t="shared" si="9"/>
        <v>1710534667172275.2</v>
      </c>
      <c r="N14" s="3">
        <f t="shared" si="4"/>
        <v>8.9686098654708513</v>
      </c>
      <c r="O14">
        <v>1115</v>
      </c>
      <c r="P14" s="13"/>
      <c r="Q14" s="4">
        <f t="shared" si="5"/>
        <v>1140322783323.9062</v>
      </c>
      <c r="R14" s="4"/>
      <c r="S14" s="87"/>
      <c r="U14" s="17"/>
      <c r="V14" s="5"/>
      <c r="W14" s="9"/>
      <c r="X14" s="4"/>
      <c r="Y14" s="6"/>
      <c r="AI14" s="6"/>
    </row>
    <row r="15" spans="1:35" ht="15.75">
      <c r="C15" s="6">
        <v>8.66E+18</v>
      </c>
      <c r="D15" s="3">
        <f t="shared" si="10"/>
        <v>0.91965229561031381</v>
      </c>
      <c r="E15" s="3">
        <f t="shared" si="0"/>
        <v>-3.6376340742004229E-2</v>
      </c>
      <c r="F15" s="3">
        <f t="shared" si="1"/>
        <v>-2.2868214744229074</v>
      </c>
      <c r="G15" s="4">
        <f t="shared" si="2"/>
        <v>1.0218666189205746E-2</v>
      </c>
      <c r="H15" s="3">
        <f t="shared" si="6"/>
        <v>-0.29621568680955207</v>
      </c>
      <c r="I15" s="3">
        <f t="shared" si="3"/>
        <v>0.94672548918189381</v>
      </c>
      <c r="J15" s="4">
        <f t="shared" si="7"/>
        <v>0.7</v>
      </c>
      <c r="K15">
        <v>1.3758080000000001E-3</v>
      </c>
      <c r="L15" s="9">
        <f t="shared" si="8"/>
        <v>227846474134855.41</v>
      </c>
      <c r="M15" s="4">
        <f t="shared" si="9"/>
        <v>1692305221056708.7</v>
      </c>
      <c r="N15" s="3">
        <f t="shared" si="4"/>
        <v>8.8888888888888893</v>
      </c>
      <c r="O15">
        <v>1125</v>
      </c>
      <c r="P15" s="13"/>
      <c r="Q15" s="4">
        <f t="shared" si="5"/>
        <v>2119555510779.9514</v>
      </c>
      <c r="R15" s="4"/>
      <c r="S15" s="6"/>
      <c r="U15" s="17"/>
      <c r="V15" s="5"/>
      <c r="W15" s="9"/>
      <c r="X15" s="4"/>
      <c r="Y15" s="6"/>
      <c r="AI15" s="6"/>
    </row>
    <row r="16" spans="1:35" ht="15.75">
      <c r="C16" s="6">
        <v>7.01E+18</v>
      </c>
      <c r="D16" s="3">
        <f t="shared" si="10"/>
        <v>0.93772010397329386</v>
      </c>
      <c r="E16" s="3">
        <f t="shared" si="0"/>
        <v>-2.7926772963853753E-2</v>
      </c>
      <c r="F16" s="3">
        <f t="shared" si="1"/>
        <v>-2.8777919010164208</v>
      </c>
      <c r="G16" s="4">
        <f t="shared" si="2"/>
        <v>2.6207390855708885E-3</v>
      </c>
      <c r="H16" s="3">
        <f t="shared" si="6"/>
        <v>-0.29621568680955207</v>
      </c>
      <c r="I16" s="3">
        <f t="shared" si="3"/>
        <v>0.94672548918189381</v>
      </c>
      <c r="J16" s="4">
        <f t="shared" si="7"/>
        <v>0.7</v>
      </c>
      <c r="K16">
        <v>3.5680599999999999E-4</v>
      </c>
      <c r="L16" s="9">
        <f t="shared" si="8"/>
        <v>228209867487910.47</v>
      </c>
      <c r="M16" s="4">
        <f t="shared" si="9"/>
        <v>1676200847066810</v>
      </c>
      <c r="N16" s="3">
        <f t="shared" si="4"/>
        <v>8.8183421516754859</v>
      </c>
      <c r="O16">
        <v>1134</v>
      </c>
      <c r="P16" s="13"/>
      <c r="Q16" s="4">
        <f t="shared" si="5"/>
        <v>559364303538.72571</v>
      </c>
      <c r="R16" s="4"/>
      <c r="S16" s="6"/>
      <c r="U16" s="17"/>
      <c r="V16" s="5"/>
      <c r="W16" s="9"/>
      <c r="X16" s="4"/>
      <c r="Y16" s="6"/>
      <c r="AI16" s="6"/>
    </row>
    <row r="17" spans="1:35" ht="15.75">
      <c r="A17" t="s">
        <v>17</v>
      </c>
      <c r="C17" s="6">
        <v>7.26E+18</v>
      </c>
      <c r="D17" s="3">
        <f t="shared" si="10"/>
        <v>0.94128454317537402</v>
      </c>
      <c r="E17" s="3">
        <f t="shared" si="0"/>
        <v>-2.6279072799020337E-2</v>
      </c>
      <c r="F17" s="3">
        <f t="shared" si="1"/>
        <v>-3.0343010865980631</v>
      </c>
      <c r="G17" s="4">
        <f t="shared" si="2"/>
        <v>1.8277407733460504E-3</v>
      </c>
      <c r="H17" s="3">
        <f t="shared" si="6"/>
        <v>-0.29621568680955207</v>
      </c>
      <c r="I17" s="3">
        <f t="shared" si="3"/>
        <v>0.94672548918189381</v>
      </c>
      <c r="J17" s="4">
        <f t="shared" si="7"/>
        <v>0.7</v>
      </c>
      <c r="K17">
        <v>2.5037900000000001E-4</v>
      </c>
      <c r="L17" s="9">
        <f t="shared" si="8"/>
        <v>228410756766969.53</v>
      </c>
      <c r="M17" s="4">
        <f t="shared" si="9"/>
        <v>1667374872548486.5</v>
      </c>
      <c r="N17" s="3">
        <f t="shared" si="4"/>
        <v>8.7796312554872689</v>
      </c>
      <c r="O17">
        <v>1139</v>
      </c>
      <c r="P17" s="13"/>
      <c r="Q17" s="4">
        <f t="shared" si="5"/>
        <v>392246454683.78308</v>
      </c>
      <c r="R17" s="4"/>
      <c r="S17" s="6"/>
      <c r="U17" s="17"/>
      <c r="V17" s="5"/>
      <c r="W17" s="9"/>
      <c r="X17" s="4"/>
      <c r="Y17" s="6"/>
      <c r="AI17" s="6"/>
    </row>
    <row r="18" spans="1:35" ht="15.75">
      <c r="A18" s="6"/>
      <c r="C18" s="6">
        <v>7.11E+18</v>
      </c>
      <c r="D18" s="3">
        <f>10^E18</f>
        <v>0.92545987236694294</v>
      </c>
      <c r="E18" s="3">
        <f>LOG(J18)/(1+(F18/(I18-0.14*F18))^2)</f>
        <v>-3.3642407367502833E-2</v>
      </c>
      <c r="F18" s="3">
        <f>LOG(G18)+H18</f>
        <v>-2.4480462323079641</v>
      </c>
      <c r="G18" s="4">
        <f>M18*K18/L18</f>
        <v>7.0496808216060792E-3</v>
      </c>
      <c r="H18" s="3">
        <f>-0.4-0.67*LOG(J18)</f>
        <v>-0.29621568680955207</v>
      </c>
      <c r="I18" s="3">
        <f>0.75-1.27*LOG(J18)</f>
        <v>0.94672548918189381</v>
      </c>
      <c r="J18" s="4">
        <f t="shared" si="7"/>
        <v>0.7</v>
      </c>
      <c r="K18">
        <v>9.7285299999999998E-4</v>
      </c>
      <c r="L18" s="9">
        <f t="shared" si="8"/>
        <v>228650894767428.16</v>
      </c>
      <c r="M18" s="4">
        <f>$B$7*O18^$B$8*EXP(-$B$9/1.987/O18)</f>
        <v>1656895571771899.7</v>
      </c>
      <c r="N18" s="3">
        <f>10000/O18</f>
        <v>8.7336244541484724</v>
      </c>
      <c r="O18">
        <v>1145</v>
      </c>
      <c r="P18" s="13"/>
      <c r="Q18" s="4">
        <f>L18/(1+L18/M18/K18)*D18</f>
        <v>1481320578880.0415</v>
      </c>
      <c r="R18" s="4"/>
      <c r="S18" s="6"/>
      <c r="U18" s="17"/>
      <c r="V18" s="5"/>
      <c r="W18" s="9"/>
      <c r="X18" s="4"/>
      <c r="Y18" s="6"/>
    </row>
    <row r="19" spans="1:35" ht="15.75">
      <c r="C19" s="6">
        <v>7.31E+18</v>
      </c>
      <c r="D19" s="3">
        <f>10^E19</f>
        <v>0.9409725413155261</v>
      </c>
      <c r="E19" s="3">
        <f>LOG(J19)/(1+(F19/(I19-0.14*F19))^2)</f>
        <v>-2.642304961114976E-2</v>
      </c>
      <c r="F19" s="3">
        <f>LOG(G19)+H19</f>
        <v>-3.0198755587453978</v>
      </c>
      <c r="G19" s="4">
        <f>M19*K19/L19</f>
        <v>1.889470553636368E-3</v>
      </c>
      <c r="H19" s="3">
        <f>-0.4-0.67*LOG(J19)</f>
        <v>-0.29621568680955207</v>
      </c>
      <c r="I19" s="3">
        <f>0.75-1.27*LOG(J19)</f>
        <v>0.94672548918189381</v>
      </c>
      <c r="J19" s="4">
        <f t="shared" si="7"/>
        <v>0.7</v>
      </c>
      <c r="K19">
        <v>2.6138399999999998E-4</v>
      </c>
      <c r="L19" s="9">
        <f t="shared" si="8"/>
        <v>228730717057702.16</v>
      </c>
      <c r="M19" s="4">
        <f>$B$7*O19^$B$8*EXP(-$B$9/1.987/O19)</f>
        <v>1653429263431043.7</v>
      </c>
      <c r="N19" s="3">
        <f>10000/O19</f>
        <v>8.7183958151700089</v>
      </c>
      <c r="O19">
        <v>1147</v>
      </c>
      <c r="P19" s="13"/>
      <c r="Q19" s="4">
        <f>L19/(1+L19/M19/K19)*D19</f>
        <v>405902529301.92133</v>
      </c>
      <c r="R19" s="4"/>
      <c r="S19" s="6"/>
      <c r="U19" s="17"/>
      <c r="V19" s="5"/>
      <c r="W19" s="9"/>
      <c r="X19" s="4"/>
      <c r="Y19" s="6"/>
      <c r="AI19" s="6"/>
    </row>
    <row r="20" spans="1:35" ht="15.75">
      <c r="C20" s="6">
        <v>7.21E+18</v>
      </c>
      <c r="D20" s="3">
        <f>10^E20</f>
        <v>0.92433829844286997</v>
      </c>
      <c r="E20" s="3">
        <f t="shared" ref="E20:E39" si="11">LOG(J20)/(1+(F20/(I20-0.14*F20))^2)</f>
        <v>-3.4169052310337601E-2</v>
      </c>
      <c r="F20" s="3">
        <f t="shared" ref="F20:F39" si="12">LOG(G20)+H20</f>
        <v>-2.4151763876050958</v>
      </c>
      <c r="G20" s="4">
        <f t="shared" ref="G20:G39" si="13">M20*K20/L20</f>
        <v>7.6039508179730902E-3</v>
      </c>
      <c r="H20" s="3">
        <f>-0.4-0.67*LOG(J20)</f>
        <v>-0.29621568680955207</v>
      </c>
      <c r="I20" s="3">
        <f t="shared" ref="I20:I39" si="14">0.75-1.27*LOG(J20)</f>
        <v>0.94672548918189381</v>
      </c>
      <c r="J20" s="4">
        <f>(1-$B$10)*EXP(-O20/$B$11)+$B$10*EXP(-O20/$B$12)+EXP(-B$13/O20)</f>
        <v>0.7</v>
      </c>
      <c r="K20">
        <v>1.051909E-3</v>
      </c>
      <c r="L20" s="9">
        <f>B$4*O20^B$5*EXP(-B$6/1.987/O20)</f>
        <v>228730717057702.16</v>
      </c>
      <c r="M20" s="4">
        <f>$B$7*O20^$B$8*EXP(-$B$9/1.987/O20)</f>
        <v>1653429263431043.7</v>
      </c>
      <c r="N20" s="3">
        <f t="shared" ref="N20:N39" si="15">10000/O20</f>
        <v>8.7183958151700089</v>
      </c>
      <c r="O20">
        <v>1147</v>
      </c>
      <c r="P20" s="13"/>
      <c r="Q20" s="20">
        <f t="shared" ref="Q20:Q39" si="16">L20/(1+L20/M20/K20)*D20</f>
        <v>1595529640772.8616</v>
      </c>
      <c r="S20" s="6"/>
      <c r="Y20" s="6"/>
      <c r="AI20" s="6"/>
    </row>
    <row r="21" spans="1:35" ht="15.75">
      <c r="C21" s="6">
        <v>7.01E+18</v>
      </c>
      <c r="D21" s="3">
        <f>10^E21</f>
        <v>0.92542425692350083</v>
      </c>
      <c r="E21" s="3">
        <f t="shared" si="11"/>
        <v>-3.3659121099404977E-2</v>
      </c>
      <c r="F21" s="3">
        <f t="shared" si="12"/>
        <v>-2.4469886812446306</v>
      </c>
      <c r="G21" s="4">
        <f t="shared" si="13"/>
        <v>7.0668684269216174E-3</v>
      </c>
      <c r="H21" s="3">
        <f t="shared" ref="H21:H28" si="17">-0.4-0.67*LOG(J21)</f>
        <v>-0.29621568680955207</v>
      </c>
      <c r="I21" s="3">
        <f t="shared" si="14"/>
        <v>0.94672548918189381</v>
      </c>
      <c r="J21" s="4">
        <f t="shared" ref="J21:J28" si="18">(1-$B$10)*EXP(-O21/$B$11)+$B$10*EXP(-O21/$B$12)+EXP(-B$13/O21)</f>
        <v>0.7</v>
      </c>
      <c r="K21">
        <v>9.78804E-4</v>
      </c>
      <c r="L21" s="9">
        <f t="shared" ref="L21:L28" si="19">B$4*O21^B$5*EXP(-B$6/1.987/O21)</f>
        <v>228770586454766.03</v>
      </c>
      <c r="M21" s="4">
        <f t="shared" ref="M21:M28" si="20">$B$7*O21^$B$8*EXP(-$B$9/1.987/O21)</f>
        <v>1651701090744958.5</v>
      </c>
      <c r="N21" s="3">
        <f t="shared" si="15"/>
        <v>8.7108013937282234</v>
      </c>
      <c r="O21">
        <v>1148</v>
      </c>
      <c r="P21" s="13"/>
      <c r="Q21" s="4">
        <f t="shared" si="16"/>
        <v>1485626924456.0615</v>
      </c>
      <c r="R21" s="8"/>
      <c r="S21" s="6"/>
      <c r="AI21" s="6"/>
    </row>
    <row r="22" spans="1:35" ht="15.75">
      <c r="C22" s="6">
        <v>6.41E+18</v>
      </c>
      <c r="D22" s="3">
        <f t="shared" ref="D22:D28" si="21">10^E22</f>
        <v>0.92539147557166856</v>
      </c>
      <c r="E22" s="3">
        <f t="shared" si="11"/>
        <v>-3.3674505408022595E-2</v>
      </c>
      <c r="F22" s="3">
        <f t="shared" si="12"/>
        <v>-2.4460160946365241</v>
      </c>
      <c r="G22" s="4">
        <f t="shared" si="13"/>
        <v>7.0827121543988111E-3</v>
      </c>
      <c r="H22" s="3">
        <f t="shared" si="17"/>
        <v>-0.29621568680955207</v>
      </c>
      <c r="I22" s="3">
        <f t="shared" si="14"/>
        <v>0.94672548918189381</v>
      </c>
      <c r="J22" s="4">
        <f t="shared" si="18"/>
        <v>0.7</v>
      </c>
      <c r="K22">
        <v>9.8219499999999994E-4</v>
      </c>
      <c r="L22" s="9">
        <f t="shared" si="19"/>
        <v>228810428077951.47</v>
      </c>
      <c r="M22" s="4">
        <f t="shared" si="20"/>
        <v>1649976226717609</v>
      </c>
      <c r="N22" s="3">
        <f t="shared" si="15"/>
        <v>8.7032201914708445</v>
      </c>
      <c r="O22">
        <v>1149</v>
      </c>
      <c r="P22" s="13"/>
      <c r="Q22" s="20">
        <f t="shared" si="16"/>
        <v>1489140789119.2141</v>
      </c>
      <c r="R22" s="20"/>
      <c r="S22" s="6"/>
      <c r="AI22" s="6"/>
    </row>
    <row r="23" spans="1:35" ht="15.75">
      <c r="C23" s="6">
        <v>7.01E+18</v>
      </c>
      <c r="D23" s="3">
        <f t="shared" si="21"/>
        <v>0.92014151328330596</v>
      </c>
      <c r="E23" s="3">
        <f t="shared" si="11"/>
        <v>-3.6145375141608545E-2</v>
      </c>
      <c r="F23" s="3">
        <f t="shared" si="12"/>
        <v>-2.2995906133855191</v>
      </c>
      <c r="G23" s="4">
        <f t="shared" si="13"/>
        <v>9.9225906096592469E-3</v>
      </c>
      <c r="H23" s="3">
        <f t="shared" si="17"/>
        <v>-0.29621568680955207</v>
      </c>
      <c r="I23" s="3">
        <f t="shared" si="14"/>
        <v>0.94672548918189381</v>
      </c>
      <c r="J23" s="4">
        <f t="shared" si="18"/>
        <v>0.7</v>
      </c>
      <c r="K23">
        <v>1.377692E-3</v>
      </c>
      <c r="L23" s="9">
        <f t="shared" si="19"/>
        <v>228850241970753.34</v>
      </c>
      <c r="M23" s="4">
        <f t="shared" si="20"/>
        <v>1648254662143094</v>
      </c>
      <c r="N23" s="3">
        <f t="shared" si="15"/>
        <v>8.695652173913043</v>
      </c>
      <c r="O23">
        <v>1150</v>
      </c>
      <c r="P23" s="13"/>
      <c r="Q23" s="4">
        <f t="shared" si="16"/>
        <v>2068916615022.2112</v>
      </c>
      <c r="R23" s="8"/>
      <c r="S23" s="6"/>
      <c r="AI23" s="6"/>
    </row>
    <row r="24" spans="1:35" ht="15.75">
      <c r="C24" s="6">
        <v>7.71E+18</v>
      </c>
      <c r="D24" s="3">
        <f t="shared" si="21"/>
        <v>0.94772718856952987</v>
      </c>
      <c r="E24" s="3">
        <f t="shared" si="11"/>
        <v>-2.3316660077580417E-2</v>
      </c>
      <c r="F24" s="3">
        <f t="shared" si="12"/>
        <v>-3.3697414307218234</v>
      </c>
      <c r="G24" s="4">
        <f t="shared" si="13"/>
        <v>8.4425619498804181E-4</v>
      </c>
      <c r="H24" s="3">
        <f t="shared" si="17"/>
        <v>-0.29621568680955207</v>
      </c>
      <c r="I24" s="3">
        <f t="shared" si="14"/>
        <v>0.94672548918189381</v>
      </c>
      <c r="J24" s="4">
        <f t="shared" si="18"/>
        <v>0.7</v>
      </c>
      <c r="K24">
        <v>1.18077E-4</v>
      </c>
      <c r="L24" s="9">
        <f t="shared" si="19"/>
        <v>229088545411926.41</v>
      </c>
      <c r="M24" s="4">
        <f t="shared" si="20"/>
        <v>1637994051888328.7</v>
      </c>
      <c r="N24" s="3">
        <f t="shared" si="15"/>
        <v>8.6505190311418687</v>
      </c>
      <c r="O24">
        <v>1156</v>
      </c>
      <c r="P24" s="13"/>
      <c r="Q24" s="4">
        <f t="shared" si="16"/>
        <v>183144748244.42636</v>
      </c>
      <c r="R24" s="20"/>
      <c r="S24" s="6"/>
      <c r="AI24" s="6"/>
    </row>
    <row r="25" spans="1:35" ht="15.75">
      <c r="C25" s="6">
        <v>8.06E+18</v>
      </c>
      <c r="D25" s="3">
        <f t="shared" si="21"/>
        <v>0.91873172060016928</v>
      </c>
      <c r="E25" s="3">
        <f t="shared" si="11"/>
        <v>-3.6811288693004124E-2</v>
      </c>
      <c r="F25" s="3">
        <f t="shared" si="12"/>
        <v>-2.2631642219752566</v>
      </c>
      <c r="G25" s="4">
        <f t="shared" si="13"/>
        <v>1.0790745873232159E-2</v>
      </c>
      <c r="H25" s="3">
        <f t="shared" si="17"/>
        <v>-0.29621568680955207</v>
      </c>
      <c r="I25" s="3">
        <f t="shared" si="14"/>
        <v>0.94672548918189381</v>
      </c>
      <c r="J25" s="4">
        <f t="shared" si="18"/>
        <v>0.7</v>
      </c>
      <c r="K25">
        <v>1.5569189999999999E-3</v>
      </c>
      <c r="L25" s="9">
        <f t="shared" si="19"/>
        <v>230109899739203.28</v>
      </c>
      <c r="M25" s="4">
        <f t="shared" si="20"/>
        <v>1594853329557076.5</v>
      </c>
      <c r="N25" s="3">
        <f t="shared" si="15"/>
        <v>8.4602368866328259</v>
      </c>
      <c r="O25">
        <v>1182</v>
      </c>
      <c r="P25" s="13"/>
      <c r="Q25" s="4">
        <f t="shared" si="16"/>
        <v>2256909903083.96</v>
      </c>
      <c r="R25" s="8"/>
      <c r="S25" s="6"/>
      <c r="AI25" s="6"/>
    </row>
    <row r="26" spans="1:35" ht="15.75">
      <c r="C26" s="6">
        <v>7.71E+18</v>
      </c>
      <c r="D26" s="3">
        <f t="shared" si="21"/>
        <v>0.94092146997252923</v>
      </c>
      <c r="E26" s="3">
        <f t="shared" si="11"/>
        <v>-2.6446621610762198E-2</v>
      </c>
      <c r="F26" s="3">
        <f t="shared" si="12"/>
        <v>-3.0175282870225155</v>
      </c>
      <c r="G26" s="4">
        <f t="shared" si="13"/>
        <v>1.8997103978199087E-3</v>
      </c>
      <c r="H26" s="3">
        <f t="shared" si="17"/>
        <v>-0.29621568680955207</v>
      </c>
      <c r="I26" s="3">
        <f t="shared" si="14"/>
        <v>0.94672548918189381</v>
      </c>
      <c r="J26" s="4">
        <f t="shared" si="18"/>
        <v>0.7</v>
      </c>
      <c r="K26">
        <v>2.75395E-4</v>
      </c>
      <c r="L26" s="9">
        <f t="shared" si="19"/>
        <v>230265432087914.5</v>
      </c>
      <c r="M26" s="4">
        <f t="shared" si="20"/>
        <v>1588400790122933.2</v>
      </c>
      <c r="N26" s="3">
        <f t="shared" si="15"/>
        <v>8.4317032040472171</v>
      </c>
      <c r="O26">
        <v>1186</v>
      </c>
      <c r="P26" s="13"/>
      <c r="Q26" s="4">
        <f t="shared" si="16"/>
        <v>410814035411.565</v>
      </c>
      <c r="R26" s="8"/>
      <c r="S26" s="6"/>
      <c r="AI26" s="6"/>
    </row>
    <row r="27" spans="1:35" ht="15.75">
      <c r="C27" s="6">
        <v>7.56E+18</v>
      </c>
      <c r="D27" s="3">
        <f t="shared" si="21"/>
        <v>0.94149889055791491</v>
      </c>
      <c r="E27" s="3">
        <f t="shared" si="11"/>
        <v>-2.6180187410310991E-2</v>
      </c>
      <c r="F27" s="3">
        <f t="shared" si="12"/>
        <v>-3.0442977967987144</v>
      </c>
      <c r="G27" s="4">
        <f t="shared" si="13"/>
        <v>1.7861498440828387E-3</v>
      </c>
      <c r="H27" s="3">
        <f t="shared" si="17"/>
        <v>-0.29621568680955207</v>
      </c>
      <c r="I27" s="3">
        <f t="shared" si="14"/>
        <v>0.94672548918189381</v>
      </c>
      <c r="J27" s="4">
        <f t="shared" si="18"/>
        <v>0.7</v>
      </c>
      <c r="K27">
        <v>2.5954400000000001E-4</v>
      </c>
      <c r="L27" s="9">
        <f t="shared" si="19"/>
        <v>230343040946827.16</v>
      </c>
      <c r="M27" s="4">
        <f t="shared" si="20"/>
        <v>1585192440097795.5</v>
      </c>
      <c r="N27" s="3">
        <f t="shared" si="15"/>
        <v>8.4175084175084169</v>
      </c>
      <c r="O27">
        <v>1188</v>
      </c>
      <c r="P27" s="13"/>
      <c r="Q27" s="4">
        <f t="shared" si="16"/>
        <v>386667593535.84503</v>
      </c>
      <c r="R27" s="8"/>
      <c r="S27" s="6"/>
      <c r="AI27" s="6"/>
    </row>
    <row r="28" spans="1:35" ht="15.75">
      <c r="C28" s="6">
        <v>7.91E+18</v>
      </c>
      <c r="D28" s="3">
        <f t="shared" si="21"/>
        <v>0.91892938927737788</v>
      </c>
      <c r="E28" s="3">
        <f t="shared" si="11"/>
        <v>-3.6717858608831935E-2</v>
      </c>
      <c r="F28" s="3">
        <f t="shared" si="12"/>
        <v>-2.2682037747337485</v>
      </c>
      <c r="G28" s="4">
        <f t="shared" si="13"/>
        <v>1.0666253768358993E-2</v>
      </c>
      <c r="H28" s="3">
        <f t="shared" si="17"/>
        <v>-0.29621568680955207</v>
      </c>
      <c r="I28" s="3">
        <f t="shared" si="14"/>
        <v>0.94672548918189381</v>
      </c>
      <c r="J28" s="4">
        <f t="shared" si="18"/>
        <v>0.7</v>
      </c>
      <c r="K28">
        <v>1.5553870000000001E-3</v>
      </c>
      <c r="L28" s="9">
        <f t="shared" si="19"/>
        <v>230459258483754.56</v>
      </c>
      <c r="M28" s="4">
        <f t="shared" si="20"/>
        <v>1580402134166973.2</v>
      </c>
      <c r="N28" s="3">
        <f t="shared" si="15"/>
        <v>8.3963056255247697</v>
      </c>
      <c r="O28">
        <v>1191</v>
      </c>
      <c r="P28" s="13"/>
      <c r="Q28" s="4">
        <f t="shared" si="16"/>
        <v>2235015034224.4971</v>
      </c>
      <c r="R28" s="8"/>
      <c r="S28" s="6"/>
      <c r="AI28" s="6"/>
    </row>
    <row r="29" spans="1:35" ht="15.75">
      <c r="C29" s="6">
        <v>6.66E+18</v>
      </c>
      <c r="D29" s="3">
        <f>10^E29</f>
        <v>0.9268097511872232</v>
      </c>
      <c r="E29" s="3">
        <f t="shared" si="11"/>
        <v>-3.3009405541832404E-2</v>
      </c>
      <c r="F29" s="3">
        <f t="shared" si="12"/>
        <v>-2.4888181934694176</v>
      </c>
      <c r="G29" s="4">
        <f t="shared" si="13"/>
        <v>6.4179672015243364E-3</v>
      </c>
      <c r="H29" s="3">
        <f>-0.4-0.67*LOG(J29)</f>
        <v>-0.29621568680955207</v>
      </c>
      <c r="I29" s="3">
        <f t="shared" si="14"/>
        <v>0.94672548918189381</v>
      </c>
      <c r="J29" s="4">
        <f>(1-$B$10)*EXP(-O29/$B$11)+$B$10*EXP(-O29/$B$12)+EXP(-B$13/O29)</f>
        <v>0.7</v>
      </c>
      <c r="K29">
        <v>9.4801200000000003E-4</v>
      </c>
      <c r="L29" s="9">
        <f>B$4*O29^B$5*EXP(-B$6/1.987/O29)</f>
        <v>230883395843689.56</v>
      </c>
      <c r="M29" s="4">
        <f>$B$7*O29^$B$8*EXP(-$B$9/1.987/O29)</f>
        <v>1563062558175803.5</v>
      </c>
      <c r="N29" s="3">
        <f t="shared" si="15"/>
        <v>8.3194675540765388</v>
      </c>
      <c r="O29">
        <v>1202</v>
      </c>
      <c r="P29" s="13"/>
      <c r="Q29" s="20">
        <f t="shared" si="16"/>
        <v>1364590701931.0151</v>
      </c>
      <c r="R29" s="8"/>
      <c r="S29" s="6"/>
      <c r="AI29" s="6"/>
    </row>
    <row r="30" spans="1:35" ht="15.75">
      <c r="C30" s="6">
        <v>7.11E+18</v>
      </c>
      <c r="D30" s="3">
        <f>10^E30</f>
        <v>0.9312843633281459</v>
      </c>
      <c r="E30" s="3">
        <f t="shared" si="11"/>
        <v>-3.0917688978196183E-2</v>
      </c>
      <c r="F30" s="3">
        <f t="shared" si="12"/>
        <v>-2.634422050553979</v>
      </c>
      <c r="G30" s="4">
        <f t="shared" si="13"/>
        <v>4.5897986751178505E-3</v>
      </c>
      <c r="H30" s="3">
        <f t="shared" ref="H30:H39" si="22">-0.4-0.67*LOG(J30)</f>
        <v>-0.29621568680955207</v>
      </c>
      <c r="I30" s="3">
        <f t="shared" si="14"/>
        <v>0.94672548918189381</v>
      </c>
      <c r="J30" s="4">
        <f t="shared" ref="J30:J40" si="23">(1-$B$10)*EXP(-O30/$B$11)+$B$10*EXP(-O30/$B$12)+EXP(-B$13/O30)</f>
        <v>0.7</v>
      </c>
      <c r="K30">
        <v>6.7875900000000002E-4</v>
      </c>
      <c r="L30" s="9">
        <f t="shared" ref="L30:L40" si="24">B$4*O30^B$5*EXP(-B$6/1.987/O30)</f>
        <v>230921799604271.5</v>
      </c>
      <c r="M30" s="4">
        <f t="shared" ref="M30:M39" si="25">$B$7*O30^$B$8*EXP(-$B$9/1.987/O30)</f>
        <v>1561503523164356</v>
      </c>
      <c r="N30" s="3">
        <f t="shared" si="15"/>
        <v>8.3125519534497094</v>
      </c>
      <c r="O30">
        <v>1203</v>
      </c>
      <c r="P30" s="13"/>
      <c r="Q30" s="4">
        <f t="shared" si="16"/>
        <v>982544246580.37073</v>
      </c>
      <c r="R30" s="8"/>
      <c r="S30" s="6"/>
    </row>
    <row r="31" spans="1:35" ht="15.75">
      <c r="C31" s="6">
        <v>7.41E+18</v>
      </c>
      <c r="D31" s="3">
        <f t="shared" ref="D31:D39" si="26">10^E31</f>
        <v>0.92711436394528568</v>
      </c>
      <c r="E31" s="3">
        <f t="shared" si="11"/>
        <v>-3.2866690270959634E-2</v>
      </c>
      <c r="F31" s="3">
        <f t="shared" si="12"/>
        <v>-2.4982089262885165</v>
      </c>
      <c r="G31" s="4">
        <f t="shared" si="13"/>
        <v>6.2806813566974005E-3</v>
      </c>
      <c r="H31" s="3">
        <f t="shared" si="22"/>
        <v>-0.29621568680955207</v>
      </c>
      <c r="I31" s="3">
        <f t="shared" si="14"/>
        <v>0.94672548918189381</v>
      </c>
      <c r="J31" s="4">
        <f t="shared" si="23"/>
        <v>0.7</v>
      </c>
      <c r="K31">
        <v>9.3422299999999998E-4</v>
      </c>
      <c r="L31" s="9">
        <f t="shared" si="24"/>
        <v>231113436216339.41</v>
      </c>
      <c r="M31" s="4">
        <f t="shared" si="25"/>
        <v>1553750924700244.7</v>
      </c>
      <c r="N31" s="3">
        <f t="shared" si="15"/>
        <v>8.2781456953642376</v>
      </c>
      <c r="O31">
        <v>1208</v>
      </c>
      <c r="P31" s="13"/>
      <c r="Q31" s="20">
        <f t="shared" si="16"/>
        <v>1337353226557.303</v>
      </c>
      <c r="R31" s="8"/>
      <c r="S31" s="6"/>
      <c r="AI31" s="6"/>
    </row>
    <row r="32" spans="1:35" ht="15.75">
      <c r="C32" s="6">
        <v>6.01E+18</v>
      </c>
      <c r="D32" s="3">
        <f t="shared" si="26"/>
        <v>0.91989096666817638</v>
      </c>
      <c r="E32" s="3">
        <f t="shared" si="11"/>
        <v>-3.626364589418319E-2</v>
      </c>
      <c r="F32" s="3">
        <f t="shared" si="12"/>
        <v>-2.2930337236572718</v>
      </c>
      <c r="G32" s="4">
        <f t="shared" si="13"/>
        <v>1.0073536471586949E-2</v>
      </c>
      <c r="H32" s="3">
        <f t="shared" si="22"/>
        <v>-0.29621568680955207</v>
      </c>
      <c r="I32" s="3">
        <f t="shared" si="14"/>
        <v>0.94672548918189381</v>
      </c>
      <c r="J32" s="4">
        <f t="shared" si="23"/>
        <v>0.7</v>
      </c>
      <c r="K32">
        <v>1.507083E-3</v>
      </c>
      <c r="L32" s="9">
        <f t="shared" si="24"/>
        <v>231304439316995.47</v>
      </c>
      <c r="M32" s="4">
        <f t="shared" si="25"/>
        <v>1546068601065584.2</v>
      </c>
      <c r="N32" s="3">
        <f t="shared" si="15"/>
        <v>8.2440230832646328</v>
      </c>
      <c r="O32">
        <v>1213</v>
      </c>
      <c r="P32" s="13"/>
      <c r="Q32" s="4">
        <f t="shared" si="16"/>
        <v>2122019118556.7212</v>
      </c>
      <c r="R32" s="8"/>
      <c r="S32" s="6"/>
      <c r="Y32" s="6"/>
      <c r="AI32" s="6"/>
    </row>
    <row r="33" spans="3:44" ht="15.75">
      <c r="C33" s="6">
        <v>7.51E+18</v>
      </c>
      <c r="D33" s="3">
        <f t="shared" si="26"/>
        <v>0.93867888750167849</v>
      </c>
      <c r="E33" s="3">
        <f t="shared" si="11"/>
        <v>-2.7482950052151282E-2</v>
      </c>
      <c r="F33" s="3">
        <f t="shared" si="12"/>
        <v>-2.9181743054478519</v>
      </c>
      <c r="G33" s="4">
        <f t="shared" si="13"/>
        <v>2.3880388142178345E-3</v>
      </c>
      <c r="H33" s="3">
        <f t="shared" si="22"/>
        <v>-0.29621568680955207</v>
      </c>
      <c r="I33" s="3">
        <f t="shared" si="14"/>
        <v>0.94672548918189381</v>
      </c>
      <c r="J33" s="4">
        <f t="shared" si="23"/>
        <v>0.7</v>
      </c>
      <c r="K33">
        <v>3.5809500000000001E-4</v>
      </c>
      <c r="L33" s="9">
        <f t="shared" si="24"/>
        <v>231380664227045.78</v>
      </c>
      <c r="M33" s="4">
        <f t="shared" si="25"/>
        <v>1543015141327550.7</v>
      </c>
      <c r="N33" s="3">
        <f t="shared" si="15"/>
        <v>8.2304526748971192</v>
      </c>
      <c r="O33">
        <v>1215</v>
      </c>
      <c r="P33" s="13"/>
      <c r="Q33" s="4">
        <f t="shared" si="16"/>
        <v>517427633902.56982</v>
      </c>
      <c r="R33" s="8"/>
      <c r="S33" s="6"/>
      <c r="Y33" s="10"/>
      <c r="AI33" s="6"/>
    </row>
    <row r="34" spans="3:44" ht="15.75">
      <c r="C34" s="6">
        <v>7.31E+18</v>
      </c>
      <c r="D34" s="3">
        <f t="shared" si="26"/>
        <v>0.93913181753030528</v>
      </c>
      <c r="E34" s="3">
        <f t="shared" si="11"/>
        <v>-2.727344542486539E-2</v>
      </c>
      <c r="F34" s="3">
        <f t="shared" si="12"/>
        <v>-2.937673774922346</v>
      </c>
      <c r="G34" s="4">
        <f t="shared" si="13"/>
        <v>2.2831892547943524E-3</v>
      </c>
      <c r="H34" s="3">
        <f t="shared" si="22"/>
        <v>-0.29621568680955207</v>
      </c>
      <c r="I34" s="3">
        <f t="shared" si="14"/>
        <v>0.94672548918189381</v>
      </c>
      <c r="J34" s="4">
        <f t="shared" si="23"/>
        <v>0.7</v>
      </c>
      <c r="K34">
        <v>3.4276700000000001E-4</v>
      </c>
      <c r="L34" s="9">
        <f t="shared" si="24"/>
        <v>231418739046324.5</v>
      </c>
      <c r="M34" s="4">
        <f t="shared" si="25"/>
        <v>1541492554267553</v>
      </c>
      <c r="N34" s="3">
        <f t="shared" si="15"/>
        <v>8.223684210526315</v>
      </c>
      <c r="O34">
        <v>1216</v>
      </c>
      <c r="P34" s="13"/>
      <c r="Q34" s="4">
        <f t="shared" si="16"/>
        <v>495081323306.45996</v>
      </c>
      <c r="S34" s="6"/>
      <c r="Y34" s="10"/>
      <c r="AI34" s="6"/>
    </row>
    <row r="35" spans="3:44" ht="15.75">
      <c r="C35" s="6">
        <v>7.36E+18</v>
      </c>
      <c r="D35" s="3">
        <f t="shared" si="26"/>
        <v>0.93067628436261296</v>
      </c>
      <c r="E35" s="3">
        <f t="shared" si="11"/>
        <v>-3.1201352705470503E-2</v>
      </c>
      <c r="F35" s="3">
        <f t="shared" si="12"/>
        <v>-2.6136186883339949</v>
      </c>
      <c r="G35" s="4">
        <f t="shared" si="13"/>
        <v>4.8150078386444148E-3</v>
      </c>
      <c r="H35" s="3">
        <f t="shared" si="22"/>
        <v>-0.29621568680955207</v>
      </c>
      <c r="I35" s="3">
        <f t="shared" si="14"/>
        <v>0.94672548918189381</v>
      </c>
      <c r="J35" s="4">
        <f t="shared" si="23"/>
        <v>0.7</v>
      </c>
      <c r="K35">
        <v>7.3203099999999996E-4</v>
      </c>
      <c r="L35" s="9">
        <f t="shared" si="24"/>
        <v>231835917456621.25</v>
      </c>
      <c r="M35" s="4">
        <f t="shared" si="25"/>
        <v>1524924162819540.5</v>
      </c>
      <c r="N35" s="3">
        <f t="shared" si="15"/>
        <v>8.1499592502037483</v>
      </c>
      <c r="O35">
        <v>1227</v>
      </c>
      <c r="P35" s="13"/>
      <c r="Q35" s="4">
        <f t="shared" si="16"/>
        <v>1033927896380.269</v>
      </c>
      <c r="R35" s="6"/>
      <c r="S35" s="6"/>
      <c r="AI35" s="6"/>
    </row>
    <row r="36" spans="3:44" ht="15.75">
      <c r="C36" s="6">
        <v>6.81E+18</v>
      </c>
      <c r="D36" s="3">
        <f t="shared" si="26"/>
        <v>0.93780881391095194</v>
      </c>
      <c r="E36" s="3">
        <f t="shared" si="11"/>
        <v>-2.7885689900749532E-2</v>
      </c>
      <c r="F36" s="3">
        <f t="shared" si="12"/>
        <v>-2.8814783324881281</v>
      </c>
      <c r="G36" s="4">
        <f t="shared" si="13"/>
        <v>2.5985875555989378E-3</v>
      </c>
      <c r="H36" s="3">
        <f t="shared" si="22"/>
        <v>-0.29621568680955207</v>
      </c>
      <c r="I36" s="3">
        <f t="shared" si="14"/>
        <v>0.94672548918189381</v>
      </c>
      <c r="J36" s="4">
        <f t="shared" si="23"/>
        <v>0.7</v>
      </c>
      <c r="K36">
        <v>3.98677E-4</v>
      </c>
      <c r="L36" s="9">
        <f t="shared" si="24"/>
        <v>232137444624603.66</v>
      </c>
      <c r="M36" s="4">
        <f t="shared" si="25"/>
        <v>1513078193098755.7</v>
      </c>
      <c r="N36" s="3">
        <f t="shared" si="15"/>
        <v>8.097165991902834</v>
      </c>
      <c r="O36">
        <v>1235</v>
      </c>
      <c r="P36" s="13"/>
      <c r="Q36" s="4">
        <f t="shared" si="16"/>
        <v>564247671292.07178</v>
      </c>
      <c r="R36" s="6"/>
      <c r="S36" s="6"/>
      <c r="AI36" s="6"/>
    </row>
    <row r="37" spans="3:44" ht="15.75">
      <c r="C37" s="6">
        <v>6.01E+18</v>
      </c>
      <c r="D37" s="3">
        <f t="shared" si="26"/>
        <v>0.92113679995710795</v>
      </c>
      <c r="E37" s="3">
        <f t="shared" si="11"/>
        <v>-3.5675867029407914E-2</v>
      </c>
      <c r="F37" s="3">
        <f t="shared" si="12"/>
        <v>-2.3260040206106347</v>
      </c>
      <c r="G37" s="4">
        <f t="shared" si="13"/>
        <v>9.337092606102099E-3</v>
      </c>
      <c r="H37" s="3">
        <f t="shared" si="22"/>
        <v>-0.29621568680955207</v>
      </c>
      <c r="I37" s="3">
        <f t="shared" si="14"/>
        <v>0.94672548918189381</v>
      </c>
      <c r="J37" s="4">
        <f t="shared" si="23"/>
        <v>0.7</v>
      </c>
      <c r="K37">
        <v>1.448768E-3</v>
      </c>
      <c r="L37" s="9">
        <f t="shared" si="24"/>
        <v>232512164000555.19</v>
      </c>
      <c r="M37" s="4">
        <f t="shared" si="25"/>
        <v>1498506046046283.7</v>
      </c>
      <c r="N37" s="3">
        <f t="shared" si="15"/>
        <v>8.0321285140562253</v>
      </c>
      <c r="O37">
        <v>1245</v>
      </c>
      <c r="P37" s="13"/>
      <c r="Q37" s="4">
        <f t="shared" si="16"/>
        <v>1981277208576.9507</v>
      </c>
      <c r="R37" s="6"/>
      <c r="S37" s="6"/>
      <c r="AI37" s="6"/>
    </row>
    <row r="38" spans="3:44" ht="15.75">
      <c r="C38" s="6">
        <v>7.66E+18</v>
      </c>
      <c r="D38" s="3">
        <f t="shared" si="26"/>
        <v>0.93887520159988203</v>
      </c>
      <c r="E38" s="3">
        <f t="shared" si="11"/>
        <v>-2.7392131757887312E-2</v>
      </c>
      <c r="F38" s="3">
        <f t="shared" si="12"/>
        <v>-2.9265920098298803</v>
      </c>
      <c r="G38" s="4">
        <f t="shared" si="13"/>
        <v>2.3421983838945925E-3</v>
      </c>
      <c r="H38" s="3">
        <f t="shared" si="22"/>
        <v>-0.29621568680955207</v>
      </c>
      <c r="I38" s="3">
        <f t="shared" si="14"/>
        <v>0.94672548918189381</v>
      </c>
      <c r="J38" s="4">
        <f t="shared" si="23"/>
        <v>0.7</v>
      </c>
      <c r="K38">
        <v>3.7121000000000002E-4</v>
      </c>
      <c r="L38" s="9">
        <f t="shared" si="24"/>
        <v>233217546774108</v>
      </c>
      <c r="M38" s="4">
        <f t="shared" si="25"/>
        <v>1471516826459894</v>
      </c>
      <c r="N38" s="3">
        <f t="shared" si="15"/>
        <v>7.9113924050632916</v>
      </c>
      <c r="O38">
        <v>1264</v>
      </c>
      <c r="P38" s="13"/>
      <c r="Q38" s="4">
        <f t="shared" si="16"/>
        <v>511654447402.3291</v>
      </c>
      <c r="R38" s="6"/>
      <c r="S38" s="6"/>
      <c r="AI38" s="6"/>
    </row>
    <row r="39" spans="3:44" ht="15.75">
      <c r="C39" s="6">
        <v>6.05E+18</v>
      </c>
      <c r="D39" s="3">
        <f t="shared" si="26"/>
        <v>0.92182925616274358</v>
      </c>
      <c r="E39" s="3">
        <f t="shared" si="11"/>
        <v>-3.5349512756934799E-2</v>
      </c>
      <c r="F39" s="3">
        <f t="shared" si="12"/>
        <v>-2.3447348753306709</v>
      </c>
      <c r="G39" s="4">
        <f t="shared" si="13"/>
        <v>8.9429501824159277E-3</v>
      </c>
      <c r="H39" s="3">
        <f t="shared" si="22"/>
        <v>-0.29621568680955207</v>
      </c>
      <c r="I39" s="3">
        <f t="shared" si="14"/>
        <v>0.94672548918189381</v>
      </c>
      <c r="J39" s="4">
        <f t="shared" si="23"/>
        <v>0.7</v>
      </c>
      <c r="K39">
        <v>1.417349E-3</v>
      </c>
      <c r="L39" s="9">
        <f t="shared" si="24"/>
        <v>233217546774108</v>
      </c>
      <c r="M39" s="4">
        <f t="shared" si="25"/>
        <v>1471516826459894</v>
      </c>
      <c r="N39" s="3">
        <f t="shared" si="15"/>
        <v>7.9113924050632916</v>
      </c>
      <c r="O39">
        <v>1264</v>
      </c>
      <c r="P39" s="13"/>
      <c r="Q39" s="4">
        <f t="shared" si="16"/>
        <v>1905574406705.9382</v>
      </c>
      <c r="R39" s="20"/>
      <c r="S39" s="6"/>
      <c r="AI39" s="6"/>
    </row>
    <row r="40" spans="3:44" ht="15.75">
      <c r="C40" s="6">
        <v>7.91E+18</v>
      </c>
      <c r="D40" s="3">
        <f>10^E40</f>
        <v>0.93980451321557712</v>
      </c>
      <c r="E40" s="3">
        <f>LOG(J40)/(1+(F40/(I40-0.14*F40))^2)</f>
        <v>-2.6962473699197673E-2</v>
      </c>
      <c r="F40" s="3">
        <f>LOG(G40)+H40</f>
        <v>-2.9671536444588966</v>
      </c>
      <c r="G40" s="4">
        <f>M40*K40/L40</f>
        <v>2.1333496569995781E-3</v>
      </c>
      <c r="H40" s="3">
        <f>-0.4-0.67*LOG(J40)</f>
        <v>-0.29621568680955207</v>
      </c>
      <c r="I40" s="3">
        <f>0.75-1.27*LOG(J40)</f>
        <v>0.94672548918189381</v>
      </c>
      <c r="J40" s="4">
        <f t="shared" si="23"/>
        <v>0.7</v>
      </c>
      <c r="K40">
        <v>3.5812300000000001E-4</v>
      </c>
      <c r="L40" s="9">
        <f t="shared" si="24"/>
        <v>235141325974685.37</v>
      </c>
      <c r="M40" s="4">
        <f>$B$7*O40^$B$8*EXP(-$B$9/1.987/O40)</f>
        <v>1400744065906185.8</v>
      </c>
      <c r="N40" s="3">
        <f>10000/O40</f>
        <v>7.5930144267274109</v>
      </c>
      <c r="O40">
        <v>1317</v>
      </c>
      <c r="P40" s="13"/>
      <c r="Q40" s="4">
        <f>L40/(1+L40/M40/K40)*D40</f>
        <v>470438673175.61475</v>
      </c>
      <c r="R40" s="20"/>
      <c r="S40" s="6"/>
      <c r="U40" s="6"/>
      <c r="V40" s="6"/>
      <c r="AI40" s="6"/>
    </row>
    <row r="41" spans="3:44">
      <c r="D41" s="2" t="s">
        <v>4</v>
      </c>
      <c r="E41" s="2" t="s">
        <v>5</v>
      </c>
      <c r="F41" t="s">
        <v>6</v>
      </c>
      <c r="G41" s="6" t="s">
        <v>7</v>
      </c>
      <c r="H41" s="2" t="s">
        <v>8</v>
      </c>
      <c r="I41" t="s">
        <v>9</v>
      </c>
      <c r="J41" t="s">
        <v>10</v>
      </c>
      <c r="K41" s="6" t="s">
        <v>11</v>
      </c>
      <c r="L41" s="6" t="s">
        <v>12</v>
      </c>
      <c r="M41" s="6" t="s">
        <v>13</v>
      </c>
      <c r="N41" s="2" t="s">
        <v>14</v>
      </c>
      <c r="P41">
        <f>760*5</f>
        <v>3800</v>
      </c>
      <c r="Q41" s="6" t="s">
        <v>16</v>
      </c>
      <c r="R41" s="20"/>
      <c r="S41" s="6"/>
      <c r="V41" s="6"/>
      <c r="AI41" s="6"/>
    </row>
    <row r="42" spans="3:44" ht="15.75">
      <c r="D42" s="7">
        <f t="shared" ref="D42:D52" si="27">10^E42</f>
        <v>0.95301495736506658</v>
      </c>
      <c r="E42" s="7">
        <f t="shared" ref="E42:E52" si="28">LOG(J42)/(1+(F42/(I42-0.14*F42))^2)</f>
        <v>-2.0900283149568617E-2</v>
      </c>
      <c r="F42" s="7">
        <f t="shared" ref="F42:F52" si="29">LOG(G42)+H42</f>
        <v>-3.7136572457101176</v>
      </c>
      <c r="G42" s="8">
        <f t="shared" ref="G42:G52" si="30">M42*K42/L42</f>
        <v>3.8243571288855356E-4</v>
      </c>
      <c r="H42" s="7">
        <f>-0.4-0.67*LOG(J42)</f>
        <v>-0.29621568680955207</v>
      </c>
      <c r="I42" s="7">
        <f t="shared" ref="I42:I52" si="31">0.75-1.27*LOG(J42)</f>
        <v>0.94672548918189381</v>
      </c>
      <c r="J42" s="4">
        <f>(1-$B$10)*EXP(-O42/$B$11)+$B$10*EXP(-O42/$B$12)+EXP(-B$13/O42)</f>
        <v>0.7</v>
      </c>
      <c r="K42" s="6">
        <f>$P$41*101325/760/8.314/O42/1000000</f>
        <v>5.3034266652681219E-5</v>
      </c>
      <c r="L42" s="9">
        <f>B$4*O42^B$5*EXP(-B$6/1.987/O42)</f>
        <v>228810428077951.47</v>
      </c>
      <c r="M42" s="8">
        <f t="shared" ref="M42:M52" si="32">$B$7*O42^$B$8*EXP(-$B$9/1.987/O42)</f>
        <v>1649976226717609</v>
      </c>
      <c r="N42" s="7">
        <f t="shared" ref="N42:N52" si="33">10000/O42</f>
        <v>8.7032201914708445</v>
      </c>
      <c r="O42" s="88">
        <v>1149</v>
      </c>
      <c r="P42" s="13"/>
      <c r="Q42" s="8">
        <f t="shared" ref="Q42:Q52" si="34">L42/(1+L42/M42/K42)*D42</f>
        <v>83361959315.012619</v>
      </c>
      <c r="R42" s="6"/>
      <c r="S42" s="6"/>
    </row>
    <row r="43" spans="3:44" ht="15.75">
      <c r="D43" s="7">
        <f t="shared" si="27"/>
        <v>0.95300243650969896</v>
      </c>
      <c r="E43" s="7">
        <f t="shared" si="28"/>
        <v>-2.0905989013966685E-2</v>
      </c>
      <c r="F43" s="7">
        <f t="shared" si="29"/>
        <v>-3.7127497082069243</v>
      </c>
      <c r="G43" s="8">
        <f t="shared" si="30"/>
        <v>3.83235717625439E-4</v>
      </c>
      <c r="H43" s="7">
        <f t="shared" ref="H43:H52" si="35">-0.4-0.67*LOG(J43)</f>
        <v>-0.29621568680955207</v>
      </c>
      <c r="I43" s="7">
        <f t="shared" si="31"/>
        <v>0.94672548918189381</v>
      </c>
      <c r="J43" s="4">
        <f t="shared" ref="J43:J54" si="36">(1-$B$10)*EXP(-O43/$B$11)+$B$10*EXP(-O43/$B$12)+EXP(-B$13/O43)</f>
        <v>0.7</v>
      </c>
      <c r="K43" s="6">
        <f t="shared" ref="K43:K54" si="37">$P$41*101325/760/8.314/O43/1000000</f>
        <v>5.3080463749068572E-5</v>
      </c>
      <c r="L43" s="9">
        <f t="shared" ref="L43:L54" si="38">B$4*O43^B$5*EXP(-B$6/1.987/O43)</f>
        <v>228770586454766.03</v>
      </c>
      <c r="M43" s="8">
        <f t="shared" si="32"/>
        <v>1651701090744958.5</v>
      </c>
      <c r="N43" s="7">
        <f t="shared" si="33"/>
        <v>8.7108013937282234</v>
      </c>
      <c r="O43" s="88">
        <v>1148</v>
      </c>
      <c r="P43" s="13"/>
      <c r="Q43" s="20">
        <f t="shared" si="34"/>
        <v>83520631584.699127</v>
      </c>
      <c r="R43" s="6"/>
      <c r="S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3:44" ht="15.75">
      <c r="D44" s="7">
        <f t="shared" si="27"/>
        <v>0.95296476704624211</v>
      </c>
      <c r="E44" s="7">
        <f t="shared" si="28"/>
        <v>-2.0923155773276299E-2</v>
      </c>
      <c r="F44" s="7">
        <f t="shared" si="29"/>
        <v>-3.7100223448804095</v>
      </c>
      <c r="G44" s="8">
        <f t="shared" si="30"/>
        <v>3.8565000553272323E-4</v>
      </c>
      <c r="H44" s="7">
        <f t="shared" si="35"/>
        <v>-0.29621568680955207</v>
      </c>
      <c r="I44" s="7">
        <f t="shared" si="31"/>
        <v>0.94672548918189381</v>
      </c>
      <c r="J44" s="4">
        <f t="shared" si="36"/>
        <v>0.7</v>
      </c>
      <c r="K44" s="6">
        <f t="shared" si="37"/>
        <v>5.3219539199939499E-5</v>
      </c>
      <c r="L44" s="9">
        <f t="shared" si="38"/>
        <v>228650894767428.16</v>
      </c>
      <c r="M44" s="8">
        <f t="shared" si="32"/>
        <v>1656895571771899.7</v>
      </c>
      <c r="N44" s="7">
        <f t="shared" si="33"/>
        <v>8.7336244541484724</v>
      </c>
      <c r="O44" s="88">
        <v>1145</v>
      </c>
      <c r="P44" s="13"/>
      <c r="Q44" s="8">
        <f t="shared" si="34"/>
        <v>83999294404.319824</v>
      </c>
      <c r="R44" s="6"/>
      <c r="S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3:44" ht="15.75">
      <c r="D45" s="7">
        <f t="shared" si="27"/>
        <v>0.95365416707113304</v>
      </c>
      <c r="E45" s="7">
        <f t="shared" si="28"/>
        <v>-2.0609089197806258E-2</v>
      </c>
      <c r="F45" s="7">
        <f t="shared" si="29"/>
        <v>-3.7606598992583629</v>
      </c>
      <c r="G45" s="8">
        <f t="shared" si="30"/>
        <v>3.4320672378503899E-4</v>
      </c>
      <c r="H45" s="7">
        <f t="shared" si="35"/>
        <v>-0.29621568680955207</v>
      </c>
      <c r="I45" s="7">
        <f t="shared" si="31"/>
        <v>0.94672548918189381</v>
      </c>
      <c r="J45" s="4">
        <f t="shared" si="36"/>
        <v>0.7</v>
      </c>
      <c r="K45" s="6">
        <f t="shared" si="37"/>
        <v>5.0695817291123723E-5</v>
      </c>
      <c r="L45" s="9">
        <f t="shared" si="38"/>
        <v>230883395843689.56</v>
      </c>
      <c r="M45" s="8">
        <f t="shared" si="32"/>
        <v>1563062558175803.5</v>
      </c>
      <c r="N45" s="7">
        <f t="shared" si="33"/>
        <v>8.3194675540765388</v>
      </c>
      <c r="O45" s="88">
        <v>1202</v>
      </c>
      <c r="P45" s="13"/>
      <c r="Q45" s="20">
        <f t="shared" si="34"/>
        <v>75542329415.675079</v>
      </c>
      <c r="R45" s="6"/>
      <c r="S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3:44" ht="15.75">
      <c r="D46" s="7">
        <f t="shared" si="27"/>
        <v>0.95372364901565987</v>
      </c>
      <c r="E46" s="7">
        <f t="shared" si="28"/>
        <v>-2.0577448245647993E-2</v>
      </c>
      <c r="F46" s="7">
        <f t="shared" si="29"/>
        <v>-3.7658498191425047</v>
      </c>
      <c r="G46" s="8">
        <f t="shared" si="30"/>
        <v>3.3912973277063624E-4</v>
      </c>
      <c r="H46" s="7">
        <f t="shared" si="35"/>
        <v>-0.29621568680955207</v>
      </c>
      <c r="I46" s="7">
        <f t="shared" si="31"/>
        <v>0.94672548918189381</v>
      </c>
      <c r="J46" s="4">
        <f t="shared" si="36"/>
        <v>0.7</v>
      </c>
      <c r="K46" s="6">
        <f t="shared" si="37"/>
        <v>5.0444016874114838E-5</v>
      </c>
      <c r="L46" s="9">
        <f t="shared" si="38"/>
        <v>231113436216339.41</v>
      </c>
      <c r="M46" s="8">
        <f t="shared" si="32"/>
        <v>1553750924700244.7</v>
      </c>
      <c r="N46" s="7">
        <f t="shared" si="33"/>
        <v>8.2781456953642376</v>
      </c>
      <c r="O46" s="88">
        <v>1208</v>
      </c>
      <c r="P46" s="13"/>
      <c r="Q46" s="8">
        <f t="shared" si="34"/>
        <v>74725074545.3526</v>
      </c>
      <c r="R46" s="6"/>
      <c r="S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3:44" ht="15.75">
      <c r="D47" s="7">
        <f t="shared" si="27"/>
        <v>0.95298989786628463</v>
      </c>
      <c r="E47" s="7">
        <f t="shared" si="28"/>
        <v>-2.0911703059660655E-2</v>
      </c>
      <c r="F47" s="7">
        <f t="shared" si="29"/>
        <v>-3.7118413798212759</v>
      </c>
      <c r="G47" s="8">
        <f t="shared" si="30"/>
        <v>3.840380952272322E-4</v>
      </c>
      <c r="H47" s="7">
        <f t="shared" si="35"/>
        <v>-0.29621568680955207</v>
      </c>
      <c r="I47" s="7">
        <f t="shared" si="31"/>
        <v>0.94672548918189381</v>
      </c>
      <c r="J47" s="4">
        <f t="shared" si="36"/>
        <v>0.7</v>
      </c>
      <c r="K47" s="6">
        <f t="shared" si="37"/>
        <v>5.3126741398370288E-5</v>
      </c>
      <c r="L47" s="9">
        <f t="shared" si="38"/>
        <v>228730717057702.16</v>
      </c>
      <c r="M47" s="8">
        <f t="shared" si="32"/>
        <v>1653429263431043.7</v>
      </c>
      <c r="N47" s="7">
        <f t="shared" si="33"/>
        <v>8.7183958151700089</v>
      </c>
      <c r="O47" s="88">
        <v>1147</v>
      </c>
      <c r="P47" s="13"/>
      <c r="Q47" s="8">
        <f t="shared" si="34"/>
        <v>83679743786.494278</v>
      </c>
      <c r="R47" s="6"/>
      <c r="S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3:44" ht="15.75">
      <c r="D48" s="7">
        <f t="shared" si="27"/>
        <v>0.95245995895757396</v>
      </c>
      <c r="E48" s="7">
        <f t="shared" si="28"/>
        <v>-2.1153272837955896E-2</v>
      </c>
      <c r="F48" s="7">
        <f t="shared" si="29"/>
        <v>-3.673901481583064</v>
      </c>
      <c r="G48" s="8">
        <f t="shared" si="30"/>
        <v>4.1909666530581975E-4</v>
      </c>
      <c r="H48" s="7">
        <f t="shared" si="35"/>
        <v>-0.29621568680955207</v>
      </c>
      <c r="I48" s="7">
        <f t="shared" si="31"/>
        <v>0.94672548918189381</v>
      </c>
      <c r="J48" s="4">
        <f t="shared" si="36"/>
        <v>0.7</v>
      </c>
      <c r="K48" s="6">
        <f t="shared" si="37"/>
        <v>5.5096177562324343E-5</v>
      </c>
      <c r="L48" s="9">
        <f t="shared" si="38"/>
        <v>227071606886596.31</v>
      </c>
      <c r="M48" s="8">
        <f t="shared" si="32"/>
        <v>1727251461758063.2</v>
      </c>
      <c r="N48" s="7">
        <f t="shared" si="33"/>
        <v>9.0415913200723335</v>
      </c>
      <c r="O48" s="88">
        <v>1106</v>
      </c>
      <c r="P48" s="13"/>
      <c r="Q48" s="8">
        <f t="shared" si="34"/>
        <v>90602836102.887924</v>
      </c>
      <c r="S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4:44" ht="15.75">
      <c r="D49" s="7">
        <f t="shared" si="27"/>
        <v>0.95394003175237463</v>
      </c>
      <c r="E49" s="7">
        <f t="shared" si="28"/>
        <v>-2.0478925817523266E-2</v>
      </c>
      <c r="F49" s="7">
        <f t="shared" si="29"/>
        <v>-3.7821161274030439</v>
      </c>
      <c r="G49" s="8">
        <f t="shared" si="30"/>
        <v>3.2666270905727364E-4</v>
      </c>
      <c r="H49" s="7">
        <f t="shared" si="35"/>
        <v>-0.29621568680955207</v>
      </c>
      <c r="I49" s="7">
        <f t="shared" si="31"/>
        <v>0.94672548918189381</v>
      </c>
      <c r="J49" s="4">
        <f t="shared" si="36"/>
        <v>0.7</v>
      </c>
      <c r="K49" s="6">
        <f t="shared" si="37"/>
        <v>4.9662895178427648E-5</v>
      </c>
      <c r="L49" s="9">
        <f t="shared" si="38"/>
        <v>231835917456621.25</v>
      </c>
      <c r="M49" s="8">
        <f t="shared" si="32"/>
        <v>1524924162819540.5</v>
      </c>
      <c r="N49" s="7">
        <f t="shared" si="33"/>
        <v>8.1499592502037483</v>
      </c>
      <c r="O49" s="88">
        <v>1227</v>
      </c>
      <c r="P49" s="13"/>
      <c r="Q49" s="8">
        <f t="shared" si="34"/>
        <v>72220336790.792343</v>
      </c>
      <c r="R49" s="6"/>
      <c r="S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4:44" ht="15.75">
      <c r="D50" s="7">
        <f t="shared" si="27"/>
        <v>0.95257900982010091</v>
      </c>
      <c r="E50" s="7">
        <f t="shared" si="28"/>
        <v>-2.1098992444141429E-2</v>
      </c>
      <c r="F50" s="7">
        <f t="shared" si="29"/>
        <v>-3.6823488585802644</v>
      </c>
      <c r="G50" s="8">
        <f t="shared" si="30"/>
        <v>4.110236657555999E-4</v>
      </c>
      <c r="H50" s="7">
        <f t="shared" si="35"/>
        <v>-0.29621568680955207</v>
      </c>
      <c r="I50" s="7">
        <f t="shared" si="31"/>
        <v>0.94672548918189381</v>
      </c>
      <c r="J50" s="4">
        <f t="shared" si="36"/>
        <v>0.7</v>
      </c>
      <c r="K50" s="6">
        <f t="shared" si="37"/>
        <v>5.4651455052852661E-5</v>
      </c>
      <c r="L50" s="9">
        <f t="shared" si="38"/>
        <v>227439965792379.06</v>
      </c>
      <c r="M50" s="8">
        <f t="shared" si="32"/>
        <v>1710534667172275.2</v>
      </c>
      <c r="N50" s="7">
        <f t="shared" si="33"/>
        <v>8.9686098654708513</v>
      </c>
      <c r="O50" s="88">
        <v>1115</v>
      </c>
      <c r="P50" s="13"/>
      <c r="Q50" s="8">
        <f t="shared" si="34"/>
        <v>89013555490.149475</v>
      </c>
      <c r="R50" s="6"/>
      <c r="S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4:44" ht="15.75">
      <c r="D51" s="7">
        <f t="shared" si="27"/>
        <v>0.9536657864383189</v>
      </c>
      <c r="E51" s="7">
        <f t="shared" si="28"/>
        <v>-2.060379776566584E-2</v>
      </c>
      <c r="F51" s="7">
        <f t="shared" si="29"/>
        <v>-3.7615266824738605</v>
      </c>
      <c r="G51" s="8">
        <f t="shared" si="30"/>
        <v>3.4252242046082691E-4</v>
      </c>
      <c r="H51" s="7">
        <f t="shared" si="35"/>
        <v>-0.29621568680955207</v>
      </c>
      <c r="I51" s="7">
        <f t="shared" si="31"/>
        <v>0.94672548918189381</v>
      </c>
      <c r="J51" s="4">
        <f t="shared" si="36"/>
        <v>0.7</v>
      </c>
      <c r="K51" s="6">
        <f t="shared" si="37"/>
        <v>5.065367612961822E-5</v>
      </c>
      <c r="L51" s="9">
        <f t="shared" si="38"/>
        <v>230921799604271.5</v>
      </c>
      <c r="M51" s="8">
        <f t="shared" si="32"/>
        <v>1561503523164356</v>
      </c>
      <c r="N51" s="7">
        <f t="shared" si="33"/>
        <v>8.3125519534497094</v>
      </c>
      <c r="O51" s="88">
        <v>1203</v>
      </c>
      <c r="P51" s="13"/>
      <c r="Q51" s="8">
        <f t="shared" si="34"/>
        <v>75405219726.957672</v>
      </c>
      <c r="R51" s="6"/>
      <c r="S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4:44" ht="15.75">
      <c r="D52" s="7">
        <f t="shared" si="27"/>
        <v>0.95472340676531553</v>
      </c>
      <c r="E52" s="7">
        <f t="shared" si="28"/>
        <v>-2.012242979248393E-2</v>
      </c>
      <c r="F52" s="7">
        <f t="shared" si="29"/>
        <v>-3.8423532223946415</v>
      </c>
      <c r="G52" s="8">
        <f t="shared" si="30"/>
        <v>2.8435604451113077E-4</v>
      </c>
      <c r="H52" s="7">
        <f t="shared" si="35"/>
        <v>-0.29621568680955207</v>
      </c>
      <c r="I52" s="7">
        <f t="shared" si="31"/>
        <v>0.94672548918189381</v>
      </c>
      <c r="J52" s="4">
        <f t="shared" si="36"/>
        <v>0.7</v>
      </c>
      <c r="K52" s="6">
        <f t="shared" si="37"/>
        <v>4.6874132603023633E-5</v>
      </c>
      <c r="L52" s="9">
        <f t="shared" si="38"/>
        <v>234531120441019.87</v>
      </c>
      <c r="M52" s="8">
        <f t="shared" si="32"/>
        <v>1422753617398568</v>
      </c>
      <c r="N52" s="7">
        <f t="shared" si="33"/>
        <v>7.6923076923076925</v>
      </c>
      <c r="O52" s="12">
        <v>1300</v>
      </c>
      <c r="P52" s="13"/>
      <c r="Q52" s="8">
        <f t="shared" si="34"/>
        <v>63652730209.895981</v>
      </c>
      <c r="R52" s="6"/>
      <c r="S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4:44" ht="15.75">
      <c r="D53" s="7">
        <f>10^E53</f>
        <v>0.95654874855553518</v>
      </c>
      <c r="E53" s="7">
        <f>LOG(J53)/(1+(F53/(I53-0.14*F53))^2)</f>
        <v>-1.929289214041115E-2</v>
      </c>
      <c r="F53" s="7">
        <f>LOG(G53)+H53</f>
        <v>-3.9915081985918683</v>
      </c>
      <c r="G53" s="8">
        <f>M53*K53/L53</f>
        <v>2.0170073844958314E-4</v>
      </c>
      <c r="H53" s="7">
        <f>-0.4-0.67*LOG(J53)</f>
        <v>-0.29621568680955207</v>
      </c>
      <c r="I53" s="7">
        <f>0.75-1.27*LOG(J53)</f>
        <v>0.94672548918189381</v>
      </c>
      <c r="J53" s="4">
        <f t="shared" si="36"/>
        <v>0.7</v>
      </c>
      <c r="K53" s="6">
        <f t="shared" si="37"/>
        <v>4.0624248255953815E-5</v>
      </c>
      <c r="L53" s="9">
        <f t="shared" si="38"/>
        <v>241340417502550.47</v>
      </c>
      <c r="M53" s="8">
        <f>$B$7*O53^$B$8*EXP(-$B$9/1.987/O53)</f>
        <v>1198263168374097.5</v>
      </c>
      <c r="N53" s="7">
        <f>10000/O53</f>
        <v>6.666666666666667</v>
      </c>
      <c r="O53" s="12">
        <v>1500</v>
      </c>
      <c r="P53" s="13"/>
      <c r="Q53" s="8">
        <f>L53/(1+L53/M53/K53)*D53</f>
        <v>46554006950.329094</v>
      </c>
      <c r="R53" s="6"/>
      <c r="S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4:44" ht="15.75">
      <c r="D54" s="7">
        <f>10^E54</f>
        <v>0.95866174475361476</v>
      </c>
      <c r="E54" s="7">
        <f>LOG(J54)/(1+(F54/(I54-0.14*F54))^2)</f>
        <v>-1.8334602736042163E-2</v>
      </c>
      <c r="F54" s="7">
        <f>LOG(G54)+H54</f>
        <v>-4.1815431891061685</v>
      </c>
      <c r="G54" s="8">
        <f>M54*K54/L54</f>
        <v>1.3021844283432873E-4</v>
      </c>
      <c r="H54" s="7">
        <f>-0.4-0.67*LOG(J54)</f>
        <v>-0.29621568680955207</v>
      </c>
      <c r="I54" s="7">
        <f>0.75-1.27*LOG(J54)</f>
        <v>0.94672548918189381</v>
      </c>
      <c r="J54" s="4">
        <f t="shared" si="36"/>
        <v>0.7</v>
      </c>
      <c r="K54" s="6">
        <f t="shared" si="37"/>
        <v>3.3853540213294842E-5</v>
      </c>
      <c r="L54" s="9">
        <f t="shared" si="38"/>
        <v>250303146415970.06</v>
      </c>
      <c r="M54" s="8">
        <f>$B$7*O54^$B$8*EXP(-$B$9/1.987/O54)</f>
        <v>962796970640618</v>
      </c>
      <c r="N54" s="7">
        <f>10000/O54</f>
        <v>5.5555555555555554</v>
      </c>
      <c r="O54" s="12">
        <v>1800</v>
      </c>
      <c r="P54" s="13"/>
      <c r="Q54" s="8">
        <f>L54/(1+L54/M54/K54)*D54</f>
        <v>31242634950.493618</v>
      </c>
      <c r="R54" s="20"/>
      <c r="S54" s="6"/>
    </row>
    <row r="55" spans="4:44">
      <c r="D55" s="2" t="s">
        <v>4</v>
      </c>
      <c r="E55" s="2" t="s">
        <v>5</v>
      </c>
      <c r="F55" t="s">
        <v>6</v>
      </c>
      <c r="G55" s="6" t="s">
        <v>7</v>
      </c>
      <c r="H55" s="2" t="s">
        <v>8</v>
      </c>
      <c r="I55" t="s">
        <v>9</v>
      </c>
      <c r="J55" t="s">
        <v>10</v>
      </c>
      <c r="K55" s="6" t="s">
        <v>11</v>
      </c>
      <c r="L55" s="6" t="s">
        <v>12</v>
      </c>
      <c r="M55" s="6" t="s">
        <v>13</v>
      </c>
      <c r="N55" s="2" t="s">
        <v>14</v>
      </c>
      <c r="P55">
        <f>760*7</f>
        <v>5320</v>
      </c>
      <c r="Q55" s="6" t="s">
        <v>16</v>
      </c>
      <c r="R55" s="20"/>
      <c r="S55" s="6"/>
    </row>
    <row r="56" spans="4:44" ht="15.75">
      <c r="D56" s="2">
        <f t="shared" ref="D56:D66" si="39">10^E56</f>
        <v>0.94936728922618363</v>
      </c>
      <c r="E56" s="2">
        <f t="shared" ref="E56:E66" si="40">LOG(J56)/(1+(F56/(I56-0.14*F56))^2)</f>
        <v>-2.2565736124402609E-2</v>
      </c>
      <c r="F56" s="2">
        <f t="shared" ref="F56:F66" si="41">LOG(G56)+H56</f>
        <v>-3.4686402382529695</v>
      </c>
      <c r="G56" s="6">
        <f t="shared" ref="G56:G66" si="42">M56*K56/L56</f>
        <v>6.7231909875947835E-4</v>
      </c>
      <c r="H56" s="2">
        <f>-0.4-0.67*LOG(J56)</f>
        <v>-0.29621568680955207</v>
      </c>
      <c r="I56" s="2">
        <f t="shared" ref="I56:I66" si="43">0.75-1.27*LOG(J56)</f>
        <v>0.94672548918189381</v>
      </c>
      <c r="J56" s="4">
        <f>(1-$B$10)*EXP(-O56/$B$11)+$B$10*EXP(-O56/$B$12)+EXP(-B$13/O56)</f>
        <v>0.7</v>
      </c>
      <c r="K56" s="6">
        <f>$P$55*101325/760/8.314/O56/1000000</f>
        <v>8.1637245299045946E-5</v>
      </c>
      <c r="L56" s="9">
        <f>B$4*O56^B$5*EXP(-B$6/1.987/O56)</f>
        <v>224509677473815.69</v>
      </c>
      <c r="M56" s="6">
        <f t="shared" ref="M56:M66" si="44">$B$7*O56^$B$8*EXP(-$B$9/1.987/O56)</f>
        <v>1848937252464359</v>
      </c>
      <c r="N56" s="2">
        <f t="shared" ref="N56:N66" si="45">10000/O56</f>
        <v>9.5693779904306222</v>
      </c>
      <c r="O56" s="88">
        <v>1045</v>
      </c>
      <c r="P56" s="13"/>
      <c r="Q56" s="6">
        <f t="shared" ref="Q56:Q66" si="46">L56/(1+L56/M56/K56)*D56</f>
        <v>143203255816.24265</v>
      </c>
      <c r="R56" s="6"/>
    </row>
    <row r="57" spans="4:44" ht="15.75">
      <c r="D57" s="2">
        <f t="shared" si="39"/>
        <v>0.9507688905380044</v>
      </c>
      <c r="E57" s="2">
        <f t="shared" si="40"/>
        <v>-2.1925036965643154E-2</v>
      </c>
      <c r="F57" s="2">
        <f t="shared" si="41"/>
        <v>-3.5584180789698361</v>
      </c>
      <c r="G57" s="6">
        <f t="shared" si="42"/>
        <v>5.4676109907729942E-4</v>
      </c>
      <c r="H57" s="2">
        <f t="shared" ref="H57:H66" si="47">-0.4-0.67*LOG(J57)</f>
        <v>-0.29621568680955207</v>
      </c>
      <c r="I57" s="2">
        <f t="shared" si="43"/>
        <v>0.94672548918189381</v>
      </c>
      <c r="J57" s="4">
        <f t="shared" ref="J57:J68" si="48">(1-$B$10)*EXP(-O57/$B$11)+$B$10*EXP(-O57/$B$12)+EXP(-B$13/O57)</f>
        <v>0.7</v>
      </c>
      <c r="K57" s="6">
        <f t="shared" ref="K57:K68" si="49">$P$55*101325/760/8.314/O57/1000000</f>
        <v>7.4899843140915716E-5</v>
      </c>
      <c r="L57" s="9">
        <f t="shared" ref="L57:L68" si="50">B$4*O57^B$5*EXP(-B$6/1.987/O57)</f>
        <v>228410756766969.53</v>
      </c>
      <c r="M57" s="6">
        <f t="shared" si="44"/>
        <v>1667374872548486.5</v>
      </c>
      <c r="N57" s="2">
        <f t="shared" si="45"/>
        <v>8.7796312554872689</v>
      </c>
      <c r="O57" s="88">
        <v>1139</v>
      </c>
      <c r="P57" s="13"/>
      <c r="Q57" s="6">
        <f t="shared" si="46"/>
        <v>118672948591.87035</v>
      </c>
      <c r="R57" s="6"/>
    </row>
    <row r="58" spans="4:44" ht="15.75">
      <c r="D58" s="2">
        <f t="shared" si="39"/>
        <v>0.95142603975631002</v>
      </c>
      <c r="E58" s="2">
        <f t="shared" si="40"/>
        <v>-2.1624966466972508E-2</v>
      </c>
      <c r="F58" s="2">
        <f t="shared" si="41"/>
        <v>-3.6023205987284146</v>
      </c>
      <c r="G58" s="6">
        <f t="shared" si="42"/>
        <v>4.9419129145779328E-4</v>
      </c>
      <c r="H58" s="2">
        <f t="shared" si="47"/>
        <v>-0.29621568680955207</v>
      </c>
      <c r="I58" s="2">
        <f t="shared" si="43"/>
        <v>0.94672548918189381</v>
      </c>
      <c r="J58" s="4">
        <f t="shared" si="48"/>
        <v>0.7</v>
      </c>
      <c r="K58" s="6">
        <f t="shared" si="49"/>
        <v>7.1810539846383015E-5</v>
      </c>
      <c r="L58" s="9">
        <f t="shared" si="50"/>
        <v>230343040946827.16</v>
      </c>
      <c r="M58" s="6">
        <f t="shared" si="44"/>
        <v>1585192440097795.5</v>
      </c>
      <c r="N58" s="2">
        <f t="shared" si="45"/>
        <v>8.4175084175084169</v>
      </c>
      <c r="O58" s="88">
        <v>1188</v>
      </c>
      <c r="P58" s="13"/>
      <c r="Q58" s="6">
        <f t="shared" si="46"/>
        <v>108250683226.77669</v>
      </c>
      <c r="R58" s="6"/>
    </row>
    <row r="59" spans="4:44" ht="15.75">
      <c r="D59" s="2">
        <f t="shared" si="39"/>
        <v>0.94988241948125052</v>
      </c>
      <c r="E59" s="2">
        <f t="shared" si="40"/>
        <v>-2.2330150217297028E-2</v>
      </c>
      <c r="F59" s="2">
        <f t="shared" si="41"/>
        <v>-3.5010461672217223</v>
      </c>
      <c r="G59" s="6">
        <f t="shared" si="42"/>
        <v>6.2397834746637367E-4</v>
      </c>
      <c r="H59" s="2">
        <f t="shared" si="47"/>
        <v>-0.29621568680955207</v>
      </c>
      <c r="I59" s="2">
        <f t="shared" si="43"/>
        <v>0.94672548918189381</v>
      </c>
      <c r="J59" s="4">
        <f t="shared" si="48"/>
        <v>0.7</v>
      </c>
      <c r="K59" s="6">
        <f t="shared" si="49"/>
        <v>7.9138145953156774E-5</v>
      </c>
      <c r="L59" s="9">
        <f t="shared" si="50"/>
        <v>225910054350724.5</v>
      </c>
      <c r="M59" s="6">
        <f t="shared" si="44"/>
        <v>1781226748390620</v>
      </c>
      <c r="N59" s="2">
        <f t="shared" si="45"/>
        <v>9.2764378478664185</v>
      </c>
      <c r="O59" s="88">
        <v>1078</v>
      </c>
      <c r="P59" s="13"/>
      <c r="Q59" s="6">
        <f t="shared" si="46"/>
        <v>133814761256.1245</v>
      </c>
      <c r="R59" s="6"/>
    </row>
    <row r="60" spans="4:44" ht="15.75">
      <c r="D60" s="2">
        <f t="shared" si="39"/>
        <v>0.9514000952775864</v>
      </c>
      <c r="E60" s="2">
        <f t="shared" si="40"/>
        <v>-2.1636809423865703E-2</v>
      </c>
      <c r="F60" s="2">
        <f t="shared" si="41"/>
        <v>-3.6005643948477806</v>
      </c>
      <c r="G60" s="6">
        <f t="shared" si="42"/>
        <v>4.9619375264494617E-4</v>
      </c>
      <c r="H60" s="2">
        <f t="shared" si="47"/>
        <v>-0.29621568680955207</v>
      </c>
      <c r="I60" s="2">
        <f t="shared" si="43"/>
        <v>0.94672548918189381</v>
      </c>
      <c r="J60" s="4">
        <f t="shared" si="48"/>
        <v>0.7</v>
      </c>
      <c r="K60" s="6">
        <f t="shared" si="49"/>
        <v>7.1931636878164423E-5</v>
      </c>
      <c r="L60" s="9">
        <f t="shared" si="50"/>
        <v>230265432087914.5</v>
      </c>
      <c r="M60" s="6">
        <f t="shared" si="44"/>
        <v>1588400790122933.2</v>
      </c>
      <c r="N60" s="2">
        <f t="shared" si="45"/>
        <v>8.4317032040472171</v>
      </c>
      <c r="O60" s="88">
        <v>1186</v>
      </c>
      <c r="P60" s="13"/>
      <c r="Q60" s="20">
        <f t="shared" si="46"/>
        <v>108649513861.95496</v>
      </c>
      <c r="R60" s="6"/>
    </row>
    <row r="61" spans="4:44" ht="15.75">
      <c r="D61" s="2">
        <f t="shared" si="39"/>
        <v>0.9508793387871024</v>
      </c>
      <c r="E61" s="2">
        <f t="shared" si="40"/>
        <v>-2.1874589081083452E-2</v>
      </c>
      <c r="F61" s="2">
        <f t="shared" si="41"/>
        <v>-3.5657133441430378</v>
      </c>
      <c r="G61" s="6">
        <f t="shared" si="42"/>
        <v>5.3765333331812497E-4</v>
      </c>
      <c r="H61" s="2">
        <f t="shared" si="47"/>
        <v>-0.29621568680955207</v>
      </c>
      <c r="I61" s="2">
        <f t="shared" si="43"/>
        <v>0.94672548918189381</v>
      </c>
      <c r="J61" s="4">
        <f t="shared" si="48"/>
        <v>0.7</v>
      </c>
      <c r="K61" s="6">
        <f t="shared" si="49"/>
        <v>7.43774379577184E-5</v>
      </c>
      <c r="L61" s="9">
        <f t="shared" si="50"/>
        <v>228730717057702.16</v>
      </c>
      <c r="M61" s="6">
        <f t="shared" si="44"/>
        <v>1653429263431043.7</v>
      </c>
      <c r="N61" s="2">
        <f t="shared" si="45"/>
        <v>8.7183958151700089</v>
      </c>
      <c r="O61" s="88">
        <v>1147</v>
      </c>
      <c r="P61" s="13"/>
      <c r="Q61" s="20">
        <f t="shared" si="46"/>
        <v>116874242187.54578</v>
      </c>
      <c r="R61" s="6"/>
    </row>
    <row r="62" spans="4:44" ht="15.75">
      <c r="D62" s="2">
        <f t="shared" si="39"/>
        <v>0.94983667771270475</v>
      </c>
      <c r="E62" s="2">
        <f t="shared" si="40"/>
        <v>-2.2351064254225037E-2</v>
      </c>
      <c r="F62" s="2">
        <f t="shared" si="41"/>
        <v>-3.4981414553838932</v>
      </c>
      <c r="G62" s="6">
        <f t="shared" si="42"/>
        <v>6.2816571834452685E-4</v>
      </c>
      <c r="H62" s="2">
        <f t="shared" si="47"/>
        <v>-0.29621568680955207</v>
      </c>
      <c r="I62" s="2">
        <f t="shared" si="43"/>
        <v>0.94672548918189381</v>
      </c>
      <c r="J62" s="4">
        <f t="shared" si="48"/>
        <v>0.7</v>
      </c>
      <c r="K62" s="6">
        <f t="shared" si="49"/>
        <v>7.9358996593026048E-5</v>
      </c>
      <c r="L62" s="9">
        <f t="shared" si="50"/>
        <v>225784175713277.97</v>
      </c>
      <c r="M62" s="6">
        <f t="shared" si="44"/>
        <v>1787193450228451</v>
      </c>
      <c r="N62" s="2">
        <f t="shared" si="45"/>
        <v>9.3023255813953494</v>
      </c>
      <c r="O62" s="88">
        <v>1075</v>
      </c>
      <c r="P62" s="13"/>
      <c r="Q62" s="20">
        <f t="shared" si="46"/>
        <v>134630650641.76532</v>
      </c>
    </row>
    <row r="63" spans="4:44" ht="15.75">
      <c r="D63" s="2">
        <f t="shared" si="39"/>
        <v>0.95100208239259176</v>
      </c>
      <c r="E63" s="2">
        <f t="shared" si="40"/>
        <v>-2.1818532094529663E-2</v>
      </c>
      <c r="F63" s="2">
        <f t="shared" si="41"/>
        <v>-3.5738599429828195</v>
      </c>
      <c r="G63" s="6">
        <f t="shared" si="42"/>
        <v>5.2766190837440772E-4</v>
      </c>
      <c r="H63" s="2">
        <f t="shared" si="47"/>
        <v>-0.29621568680955207</v>
      </c>
      <c r="I63" s="2">
        <f t="shared" si="43"/>
        <v>0.94672548918189381</v>
      </c>
      <c r="J63" s="4">
        <f t="shared" si="48"/>
        <v>0.7</v>
      </c>
      <c r="K63" s="6">
        <f t="shared" si="49"/>
        <v>7.3798374859431677E-5</v>
      </c>
      <c r="L63" s="9">
        <f t="shared" si="50"/>
        <v>229088545411926.41</v>
      </c>
      <c r="M63" s="6">
        <f t="shared" si="44"/>
        <v>1637994051888328.7</v>
      </c>
      <c r="N63" s="2">
        <f t="shared" si="45"/>
        <v>8.6505190311418687</v>
      </c>
      <c r="O63" s="88">
        <v>1156</v>
      </c>
      <c r="P63" s="13"/>
      <c r="Q63" s="6">
        <f t="shared" si="46"/>
        <v>114897739966.47736</v>
      </c>
      <c r="R63" s="20"/>
      <c r="S63" s="6"/>
    </row>
    <row r="64" spans="4:44" ht="15.75">
      <c r="D64" s="2">
        <f t="shared" si="39"/>
        <v>0.94894194429775247</v>
      </c>
      <c r="E64" s="2">
        <f t="shared" si="40"/>
        <v>-2.2760356637385827E-2</v>
      </c>
      <c r="F64" s="2">
        <f t="shared" si="41"/>
        <v>-3.4423791827954187</v>
      </c>
      <c r="G64" s="6">
        <f t="shared" si="42"/>
        <v>7.1422739496968728E-4</v>
      </c>
      <c r="H64" s="2">
        <f t="shared" si="47"/>
        <v>-0.29621568680955207</v>
      </c>
      <c r="I64" s="2">
        <f t="shared" si="43"/>
        <v>0.94672548918189381</v>
      </c>
      <c r="J64" s="4">
        <f t="shared" si="48"/>
        <v>0.7</v>
      </c>
      <c r="K64" s="6">
        <f t="shared" si="49"/>
        <v>8.3720236837588811E-5</v>
      </c>
      <c r="L64" s="9">
        <f t="shared" si="50"/>
        <v>223381212888096.81</v>
      </c>
      <c r="M64" s="6">
        <f t="shared" si="44"/>
        <v>1905691954452305.5</v>
      </c>
      <c r="N64" s="2">
        <f t="shared" si="45"/>
        <v>9.8135426889106974</v>
      </c>
      <c r="O64" s="88">
        <v>1019</v>
      </c>
      <c r="P64" s="13"/>
      <c r="Q64" s="6">
        <f t="shared" si="46"/>
        <v>151290869116.86801</v>
      </c>
      <c r="R64" s="6"/>
    </row>
    <row r="65" spans="4:19" ht="15.75">
      <c r="D65" s="2">
        <f t="shared" si="39"/>
        <v>0.95158021055436481</v>
      </c>
      <c r="E65" s="2">
        <f t="shared" si="40"/>
        <v>-2.1554598303965781E-2</v>
      </c>
      <c r="F65" s="2">
        <f t="shared" si="41"/>
        <v>-3.6127961316942954</v>
      </c>
      <c r="G65" s="6">
        <f t="shared" si="42"/>
        <v>4.824136137343395E-4</v>
      </c>
      <c r="H65" s="2">
        <f t="shared" si="47"/>
        <v>-0.29621568680955207</v>
      </c>
      <c r="I65" s="2">
        <f t="shared" si="43"/>
        <v>0.94672548918189381</v>
      </c>
      <c r="J65" s="4">
        <f t="shared" si="48"/>
        <v>0.7</v>
      </c>
      <c r="K65" s="6">
        <f t="shared" si="49"/>
        <v>7.1092434447919171E-5</v>
      </c>
      <c r="L65" s="9">
        <f t="shared" si="50"/>
        <v>230806511578935.31</v>
      </c>
      <c r="M65" s="6">
        <f t="shared" si="44"/>
        <v>1566189204081614.2</v>
      </c>
      <c r="N65" s="2">
        <f t="shared" si="45"/>
        <v>8.3333333333333339</v>
      </c>
      <c r="O65" s="12">
        <v>1200</v>
      </c>
      <c r="P65" s="13"/>
      <c r="Q65" s="6">
        <f t="shared" si="46"/>
        <v>105901851948.16112</v>
      </c>
      <c r="R65" s="6"/>
    </row>
    <row r="66" spans="4:19" ht="15.75">
      <c r="D66" s="2">
        <f t="shared" si="39"/>
        <v>0.95277324951890685</v>
      </c>
      <c r="E66" s="2">
        <f t="shared" si="40"/>
        <v>-2.1010444797125796E-2</v>
      </c>
      <c r="F66" s="2">
        <f t="shared" si="41"/>
        <v>-3.6962251867164033</v>
      </c>
      <c r="G66" s="6">
        <f t="shared" si="42"/>
        <v>3.9809846231558306E-4</v>
      </c>
      <c r="H66" s="2">
        <f t="shared" si="47"/>
        <v>-0.29621568680955207</v>
      </c>
      <c r="I66" s="2">
        <f t="shared" si="43"/>
        <v>0.94672548918189381</v>
      </c>
      <c r="J66" s="4">
        <f t="shared" si="48"/>
        <v>0.7</v>
      </c>
      <c r="K66" s="6">
        <f t="shared" si="49"/>
        <v>6.5623785644233079E-5</v>
      </c>
      <c r="L66" s="9">
        <f t="shared" si="50"/>
        <v>234531120441019.87</v>
      </c>
      <c r="M66" s="6">
        <f t="shared" si="44"/>
        <v>1422753617398568</v>
      </c>
      <c r="N66" s="2">
        <f t="shared" si="45"/>
        <v>7.6923076923076925</v>
      </c>
      <c r="O66" s="12">
        <v>1300</v>
      </c>
      <c r="P66" s="13"/>
      <c r="Q66" s="6">
        <f t="shared" si="46"/>
        <v>88921683447.977722</v>
      </c>
      <c r="R66" s="6"/>
    </row>
    <row r="67" spans="4:19" ht="15.75">
      <c r="D67" s="2">
        <f>10^E67</f>
        <v>0.9547620425956943</v>
      </c>
      <c r="E67" s="2">
        <f>LOG(J67)/(1+(F67/(I67-0.14*F67))^2)</f>
        <v>-2.0104855080987565E-2</v>
      </c>
      <c r="F67" s="2">
        <f>LOG(G67)+H67</f>
        <v>-3.8453801629136302</v>
      </c>
      <c r="G67" s="6">
        <f>M67*K67/L67</f>
        <v>2.8238103382941632E-4</v>
      </c>
      <c r="H67" s="2">
        <f>-0.4-0.67*LOG(J67)</f>
        <v>-0.29621568680955207</v>
      </c>
      <c r="I67" s="2">
        <f>0.75-1.27*LOG(J67)</f>
        <v>0.94672548918189381</v>
      </c>
      <c r="J67" s="4">
        <f t="shared" si="48"/>
        <v>0.7</v>
      </c>
      <c r="K67" s="6">
        <f t="shared" si="49"/>
        <v>5.687394755833534E-5</v>
      </c>
      <c r="L67" s="9">
        <f t="shared" si="50"/>
        <v>241340417502550.47</v>
      </c>
      <c r="M67" s="6">
        <f>$B$7*O67^$B$8*EXP(-$B$9/1.987/O67)</f>
        <v>1198263168374097.5</v>
      </c>
      <c r="N67" s="2">
        <f>10000/O67</f>
        <v>6.666666666666667</v>
      </c>
      <c r="O67" s="12">
        <v>1500</v>
      </c>
      <c r="P67" s="13"/>
      <c r="Q67" s="6">
        <f>L67/(1+L67/M67/K67)*D67</f>
        <v>65048623267.965996</v>
      </c>
      <c r="R67" s="6"/>
    </row>
    <row r="68" spans="4:19" ht="15.75">
      <c r="D68" s="2">
        <f>10^E68</f>
        <v>0.95705705447456124</v>
      </c>
      <c r="E68" s="2">
        <f>LOG(J68)/(1+(F68/(I68-0.14*F68))^2)</f>
        <v>-1.9062171204475148E-2</v>
      </c>
      <c r="F68" s="2">
        <f>LOG(G68)+H68</f>
        <v>-4.0354151534279303</v>
      </c>
      <c r="G68" s="6">
        <f>M68*K68/L68</f>
        <v>1.8230581996806023E-4</v>
      </c>
      <c r="H68" s="2">
        <f>-0.4-0.67*LOG(J68)</f>
        <v>-0.29621568680955207</v>
      </c>
      <c r="I68" s="2">
        <f>0.75-1.27*LOG(J68)</f>
        <v>0.94672548918189381</v>
      </c>
      <c r="J68" s="4">
        <f t="shared" si="48"/>
        <v>0.7</v>
      </c>
      <c r="K68" s="6">
        <f t="shared" si="49"/>
        <v>4.7394956298612781E-5</v>
      </c>
      <c r="L68" s="9">
        <f t="shared" si="50"/>
        <v>250303146415970.06</v>
      </c>
      <c r="M68" s="6">
        <f>$B$7*O68^$B$8*EXP(-$B$9/1.987/O68)</f>
        <v>962796970640618</v>
      </c>
      <c r="N68" s="2">
        <f>10000/O68</f>
        <v>5.5555555555555554</v>
      </c>
      <c r="O68" s="12">
        <v>1800</v>
      </c>
      <c r="P68" s="13"/>
      <c r="Q68" s="6">
        <f>L68/(1+L68/M68/K68)*D68</f>
        <v>43664199629.098206</v>
      </c>
      <c r="R68" s="6"/>
    </row>
    <row r="69" spans="4:19">
      <c r="D69" s="2" t="s">
        <v>4</v>
      </c>
      <c r="E69" s="2" t="s">
        <v>5</v>
      </c>
      <c r="F69" t="s">
        <v>6</v>
      </c>
      <c r="G69" s="6" t="s">
        <v>7</v>
      </c>
      <c r="H69" s="2" t="s">
        <v>8</v>
      </c>
      <c r="I69" t="s">
        <v>9</v>
      </c>
      <c r="J69" t="s">
        <v>10</v>
      </c>
      <c r="K69" s="6" t="s">
        <v>11</v>
      </c>
      <c r="L69" s="6" t="s">
        <v>12</v>
      </c>
      <c r="M69" s="6" t="s">
        <v>13</v>
      </c>
      <c r="N69" s="2" t="s">
        <v>14</v>
      </c>
      <c r="P69">
        <f>760*8</f>
        <v>6080</v>
      </c>
      <c r="Q69" s="6" t="s">
        <v>16</v>
      </c>
      <c r="R69" s="6"/>
    </row>
    <row r="70" spans="4:19" ht="15.75">
      <c r="D70" s="2">
        <f t="shared" ref="D70:D80" si="51">10^E70</f>
        <v>0.91228642932177029</v>
      </c>
      <c r="E70" s="2">
        <f t="shared" ref="E70:E80" si="52">LOG(J70)/(1+(F70/(I70-0.14*F70))^2)</f>
        <v>-3.9868785417369643E-2</v>
      </c>
      <c r="F70" s="2">
        <f t="shared" ref="F70:F80" si="53">LOG(G70)+H70</f>
        <v>-2.1098602055294982</v>
      </c>
      <c r="G70" s="6">
        <f t="shared" ref="G70:G80" si="54">M70*K70/L70</f>
        <v>1.5358736207658012E-2</v>
      </c>
      <c r="H70" s="2">
        <f>-0.4-0.67*LOG(J70)</f>
        <v>-0.29621568680955207</v>
      </c>
      <c r="I70" s="2">
        <f t="shared" ref="I70:I80" si="55">0.75-1.27*LOG(J70)</f>
        <v>0.94672548918189381</v>
      </c>
      <c r="J70" s="4">
        <f>(1-$B$10)*EXP(-O70/$B$11)+$B$10*EXP(-O70/$B$12)+EXP(-B$13/O70)</f>
        <v>0.7</v>
      </c>
      <c r="K70" s="6">
        <f t="shared" ref="K70:K80" si="56">$P$69*101325/760/8.314/O70/1000000</f>
        <v>3.2499398604763052E-4</v>
      </c>
      <c r="L70" s="9">
        <f>B$4*O70^B$5*EXP(-B$6/1.987/O70)</f>
        <v>174918626629333.09</v>
      </c>
      <c r="M70" s="6">
        <f t="shared" ref="M70:M80" si="57">$B$7*O70^$B$8*EXP(-$B$9/1.987/O70)</f>
        <v>8266396178211182</v>
      </c>
      <c r="N70" s="2">
        <f t="shared" ref="N70:N80" si="58">10000/O70</f>
        <v>33.333333333333336</v>
      </c>
      <c r="O70" s="12">
        <v>300</v>
      </c>
      <c r="P70" s="13"/>
      <c r="Q70" s="6">
        <f t="shared" ref="Q70:Q79" si="59">L70/(1+L70/M70/K70)*D70</f>
        <v>2413810904076.8091</v>
      </c>
      <c r="R70" s="6"/>
    </row>
    <row r="71" spans="4:19" ht="15.75">
      <c r="D71" s="2">
        <f t="shared" si="51"/>
        <v>0.92414891994929849</v>
      </c>
      <c r="E71" s="2">
        <f t="shared" si="52"/>
        <v>-3.4258039709567291E-2</v>
      </c>
      <c r="F71" s="2">
        <f t="shared" si="53"/>
        <v>-2.4097131733894179</v>
      </c>
      <c r="G71" s="6">
        <f t="shared" si="54"/>
        <v>7.7002090073501105E-3</v>
      </c>
      <c r="H71" s="2">
        <f t="shared" ref="H71:H80" si="60">-0.4-0.67*LOG(J71)</f>
        <v>-0.29621568680955207</v>
      </c>
      <c r="I71" s="2">
        <f t="shared" si="55"/>
        <v>0.94672548918189381</v>
      </c>
      <c r="J71" s="4">
        <f t="shared" ref="J71:J82" si="61">(1-$B$10)*EXP(-O71/$B$11)+$B$10*EXP(-O71/$B$12)+EXP(-B$13/O71)</f>
        <v>0.7</v>
      </c>
      <c r="K71" s="6">
        <f t="shared" si="56"/>
        <v>2.4374548953572288E-4</v>
      </c>
      <c r="L71" s="9">
        <f t="shared" ref="L71:L82" si="62">B$4*O71^B$5*EXP(-B$6/1.987/O71)</f>
        <v>185277979569305.25</v>
      </c>
      <c r="M71" s="6">
        <f t="shared" si="57"/>
        <v>5853151046448811</v>
      </c>
      <c r="N71" s="2">
        <f t="shared" si="58"/>
        <v>25</v>
      </c>
      <c r="O71" s="12">
        <v>400</v>
      </c>
      <c r="P71" s="13"/>
      <c r="Q71" s="6">
        <f t="shared" si="59"/>
        <v>1308389141576.4617</v>
      </c>
      <c r="R71" s="6"/>
    </row>
    <row r="72" spans="4:19" ht="15.75">
      <c r="D72" s="2">
        <f t="shared" si="51"/>
        <v>0.93151197748372838</v>
      </c>
      <c r="E72" s="2">
        <f t="shared" si="52"/>
        <v>-3.0811556525497198E-2</v>
      </c>
      <c r="F72" s="2">
        <f t="shared" si="53"/>
        <v>-2.6422972046087536</v>
      </c>
      <c r="G72" s="6">
        <f t="shared" si="54"/>
        <v>4.5073209343456117E-3</v>
      </c>
      <c r="H72" s="2">
        <f t="shared" si="60"/>
        <v>-0.29621568680955207</v>
      </c>
      <c r="I72" s="2">
        <f t="shared" si="55"/>
        <v>0.94672548918189381</v>
      </c>
      <c r="J72" s="4">
        <f t="shared" si="61"/>
        <v>0.7</v>
      </c>
      <c r="K72" s="6">
        <f t="shared" si="56"/>
        <v>1.949963916285783E-4</v>
      </c>
      <c r="L72" s="9">
        <f t="shared" si="62"/>
        <v>193733983661863.44</v>
      </c>
      <c r="M72" s="6">
        <f t="shared" si="57"/>
        <v>4478140507935994.5</v>
      </c>
      <c r="N72" s="2">
        <f t="shared" si="58"/>
        <v>20</v>
      </c>
      <c r="O72" s="12">
        <v>500</v>
      </c>
      <c r="P72" s="13"/>
      <c r="Q72" s="6">
        <f t="shared" si="59"/>
        <v>809766168286.88953</v>
      </c>
      <c r="R72" s="6"/>
    </row>
    <row r="73" spans="4:19" ht="15.75">
      <c r="D73" s="2">
        <f t="shared" si="51"/>
        <v>0.93660604481416931</v>
      </c>
      <c r="E73" s="2">
        <f t="shared" si="52"/>
        <v>-2.8443043627432069E-2</v>
      </c>
      <c r="F73" s="2">
        <f t="shared" si="53"/>
        <v>-2.8323321951230533</v>
      </c>
      <c r="G73" s="6">
        <f t="shared" si="54"/>
        <v>2.9099363638262904E-3</v>
      </c>
      <c r="H73" s="2">
        <f t="shared" si="60"/>
        <v>-0.29621568680955207</v>
      </c>
      <c r="I73" s="2">
        <f t="shared" si="55"/>
        <v>0.94672548918189381</v>
      </c>
      <c r="J73" s="4">
        <f t="shared" si="61"/>
        <v>0.7</v>
      </c>
      <c r="K73" s="6">
        <f t="shared" si="56"/>
        <v>1.6249699302381526E-4</v>
      </c>
      <c r="L73" s="9">
        <f t="shared" si="62"/>
        <v>200928738667455.53</v>
      </c>
      <c r="M73" s="6">
        <f t="shared" si="57"/>
        <v>3598157924685335</v>
      </c>
      <c r="N73" s="2">
        <f t="shared" si="58"/>
        <v>16.666666666666668</v>
      </c>
      <c r="O73" s="12">
        <v>600</v>
      </c>
      <c r="P73" s="13"/>
      <c r="Q73" s="6">
        <f t="shared" si="59"/>
        <v>546035114035.36591</v>
      </c>
      <c r="R73" s="6"/>
    </row>
    <row r="74" spans="4:19" ht="15.75">
      <c r="D74" s="2">
        <f t="shared" si="51"/>
        <v>0.94038274020758494</v>
      </c>
      <c r="E74" s="2">
        <f t="shared" si="52"/>
        <v>-2.6695350518380179E-2</v>
      </c>
      <c r="F74" s="2">
        <f t="shared" si="53"/>
        <v>-2.9930044902365247</v>
      </c>
      <c r="G74" s="6">
        <f t="shared" si="54"/>
        <v>2.0100700681870329E-3</v>
      </c>
      <c r="H74" s="2">
        <f t="shared" si="60"/>
        <v>-0.29621568680955207</v>
      </c>
      <c r="I74" s="2">
        <f t="shared" si="55"/>
        <v>0.94672548918189381</v>
      </c>
      <c r="J74" s="4">
        <f t="shared" si="61"/>
        <v>0.7</v>
      </c>
      <c r="K74" s="6">
        <f t="shared" si="56"/>
        <v>1.3928313687755592E-4</v>
      </c>
      <c r="L74" s="9">
        <f t="shared" si="62"/>
        <v>207219879055280.06</v>
      </c>
      <c r="M74" s="6">
        <f t="shared" si="57"/>
        <v>2990501835039261</v>
      </c>
      <c r="N74" s="2">
        <f t="shared" si="58"/>
        <v>14.285714285714286</v>
      </c>
      <c r="O74" s="12">
        <v>700</v>
      </c>
      <c r="P74" s="13"/>
      <c r="Q74" s="6">
        <f t="shared" si="59"/>
        <v>390908555679.89435</v>
      </c>
      <c r="R74" s="6"/>
    </row>
    <row r="75" spans="4:19" ht="15.75">
      <c r="D75" s="2">
        <f t="shared" si="51"/>
        <v>0.94331988530256639</v>
      </c>
      <c r="E75" s="2">
        <f t="shared" si="52"/>
        <v>-2.5341010482140654E-2</v>
      </c>
      <c r="F75" s="2">
        <f t="shared" si="53"/>
        <v>-3.1321851629829727</v>
      </c>
      <c r="G75" s="6">
        <f t="shared" si="54"/>
        <v>1.4589167947541449E-3</v>
      </c>
      <c r="H75" s="2">
        <f t="shared" si="60"/>
        <v>-0.29621568680955207</v>
      </c>
      <c r="I75" s="2">
        <f t="shared" si="55"/>
        <v>0.94672548918189381</v>
      </c>
      <c r="J75" s="4">
        <f t="shared" si="61"/>
        <v>0.7</v>
      </c>
      <c r="K75" s="6">
        <f t="shared" si="56"/>
        <v>1.2187274476786144E-4</v>
      </c>
      <c r="L75" s="9">
        <f t="shared" si="62"/>
        <v>212828510348435.22</v>
      </c>
      <c r="M75" s="6">
        <f t="shared" si="57"/>
        <v>2547731970271657.5</v>
      </c>
      <c r="N75" s="2">
        <f t="shared" si="58"/>
        <v>12.5</v>
      </c>
      <c r="O75" s="12">
        <v>800</v>
      </c>
      <c r="P75" s="13"/>
      <c r="Q75" s="20">
        <f t="shared" si="59"/>
        <v>292473270054.35809</v>
      </c>
      <c r="R75" s="6"/>
    </row>
    <row r="76" spans="4:19" ht="15.75">
      <c r="D76" s="2">
        <f t="shared" si="51"/>
        <v>0.94568538145572412</v>
      </c>
      <c r="E76" s="2">
        <f t="shared" si="52"/>
        <v>-2.4253324300058374E-2</v>
      </c>
      <c r="F76" s="2">
        <f t="shared" si="53"/>
        <v>-3.2549512168566883</v>
      </c>
      <c r="G76" s="6">
        <f t="shared" si="54"/>
        <v>1.0996752988699182E-3</v>
      </c>
      <c r="H76" s="2">
        <f t="shared" si="60"/>
        <v>-0.29621568680955207</v>
      </c>
      <c r="I76" s="2">
        <f t="shared" si="55"/>
        <v>0.94672548918189381</v>
      </c>
      <c r="J76" s="4">
        <f t="shared" si="61"/>
        <v>0.7</v>
      </c>
      <c r="K76" s="6">
        <f t="shared" si="56"/>
        <v>1.0833132868254351E-4</v>
      </c>
      <c r="L76" s="9">
        <f t="shared" si="62"/>
        <v>217901545107214.97</v>
      </c>
      <c r="M76" s="6">
        <f t="shared" si="57"/>
        <v>2211926592742013.2</v>
      </c>
      <c r="N76" s="2">
        <f t="shared" si="58"/>
        <v>11.111111111111111</v>
      </c>
      <c r="O76" s="12">
        <v>900</v>
      </c>
      <c r="P76" s="13"/>
      <c r="Q76" s="20">
        <f t="shared" si="59"/>
        <v>226357107103.18756</v>
      </c>
    </row>
    <row r="77" spans="4:19" ht="15.75">
      <c r="D77" s="2">
        <f t="shared" si="51"/>
        <v>0.94764191667412734</v>
      </c>
      <c r="E77" s="2">
        <f t="shared" si="52"/>
        <v>-2.3355737546509648E-2</v>
      </c>
      <c r="F77" s="2">
        <f t="shared" si="53"/>
        <v>-3.3647691942023084</v>
      </c>
      <c r="G77" s="6">
        <f t="shared" si="54"/>
        <v>8.5397762634584608E-4</v>
      </c>
      <c r="H77" s="2">
        <f t="shared" si="60"/>
        <v>-0.29621568680955207</v>
      </c>
      <c r="I77" s="2">
        <f t="shared" si="55"/>
        <v>0.94672548918189381</v>
      </c>
      <c r="J77" s="4">
        <f t="shared" si="61"/>
        <v>0.7</v>
      </c>
      <c r="K77" s="6">
        <f t="shared" si="56"/>
        <v>9.7498195814289148E-5</v>
      </c>
      <c r="L77" s="9">
        <f t="shared" si="62"/>
        <v>222541908339404.97</v>
      </c>
      <c r="M77" s="6">
        <f t="shared" si="57"/>
        <v>1949223870851435.5</v>
      </c>
      <c r="N77" s="2">
        <f t="shared" si="58"/>
        <v>10</v>
      </c>
      <c r="O77" s="12">
        <v>1000</v>
      </c>
      <c r="P77" s="13"/>
      <c r="Q77" s="6">
        <f t="shared" si="59"/>
        <v>179941710062.17575</v>
      </c>
      <c r="R77" s="6"/>
    </row>
    <row r="78" spans="4:19" ht="15.75">
      <c r="D78" s="2">
        <f t="shared" si="51"/>
        <v>0.94929445016825331</v>
      </c>
      <c r="E78" s="2">
        <f t="shared" si="52"/>
        <v>-2.2599058121981586E-2</v>
      </c>
      <c r="F78" s="2">
        <f t="shared" si="53"/>
        <v>-3.4641116385820485</v>
      </c>
      <c r="G78" s="6">
        <f t="shared" si="54"/>
        <v>6.7936637564813883E-4</v>
      </c>
      <c r="H78" s="2">
        <f t="shared" si="60"/>
        <v>-0.29621568680955207</v>
      </c>
      <c r="I78" s="2">
        <f t="shared" si="55"/>
        <v>0.94672548918189381</v>
      </c>
      <c r="J78" s="4">
        <f t="shared" si="61"/>
        <v>0.7</v>
      </c>
      <c r="K78" s="6">
        <f t="shared" si="56"/>
        <v>8.86347234675356E-5</v>
      </c>
      <c r="L78" s="9">
        <f t="shared" si="62"/>
        <v>226824699879569.84</v>
      </c>
      <c r="M78" s="6">
        <f t="shared" si="57"/>
        <v>1738563265457714.2</v>
      </c>
      <c r="N78" s="2">
        <f t="shared" si="58"/>
        <v>9.0909090909090917</v>
      </c>
      <c r="O78" s="12">
        <v>1100</v>
      </c>
      <c r="P78" s="13"/>
      <c r="Q78" s="6">
        <f t="shared" si="59"/>
        <v>146184184766.82498</v>
      </c>
      <c r="R78" s="20"/>
      <c r="S78" s="6"/>
    </row>
    <row r="79" spans="4:19" ht="15.75">
      <c r="D79" s="2">
        <f t="shared" si="51"/>
        <v>0.95071399015867797</v>
      </c>
      <c r="E79" s="2">
        <f t="shared" si="52"/>
        <v>-2.1950115215933517E-2</v>
      </c>
      <c r="F79" s="2">
        <f t="shared" si="53"/>
        <v>-3.5548041847166085</v>
      </c>
      <c r="G79" s="6">
        <f t="shared" si="54"/>
        <v>5.5132984426781661E-4</v>
      </c>
      <c r="H79" s="2">
        <f t="shared" si="60"/>
        <v>-0.29621568680955207</v>
      </c>
      <c r="I79" s="2">
        <f t="shared" si="55"/>
        <v>0.94672548918189381</v>
      </c>
      <c r="J79" s="4">
        <f t="shared" si="61"/>
        <v>0.7</v>
      </c>
      <c r="K79" s="6">
        <f t="shared" si="56"/>
        <v>8.124849651190763E-5</v>
      </c>
      <c r="L79" s="9">
        <f t="shared" si="62"/>
        <v>230806511578935.31</v>
      </c>
      <c r="M79" s="6">
        <f t="shared" si="57"/>
        <v>1566189204081614.2</v>
      </c>
      <c r="N79" s="2">
        <f t="shared" si="58"/>
        <v>8.3333333333333339</v>
      </c>
      <c r="O79" s="12">
        <v>1200</v>
      </c>
      <c r="P79" s="13"/>
      <c r="Q79" s="6">
        <f t="shared" si="59"/>
        <v>120912185301.87846</v>
      </c>
      <c r="R79" s="6"/>
    </row>
    <row r="80" spans="4:19" ht="15.75">
      <c r="D80" s="2">
        <f t="shared" si="51"/>
        <v>0.95195044964229736</v>
      </c>
      <c r="E80" s="2">
        <f t="shared" si="52"/>
        <v>-2.1385656664869739E-2</v>
      </c>
      <c r="F80" s="2">
        <f t="shared" si="53"/>
        <v>-3.6382332397387165</v>
      </c>
      <c r="G80" s="6">
        <f t="shared" si="54"/>
        <v>4.5496967121780931E-4</v>
      </c>
      <c r="H80" s="2">
        <f t="shared" si="60"/>
        <v>-0.29621568680955207</v>
      </c>
      <c r="I80" s="2">
        <f t="shared" si="55"/>
        <v>0.94672548918189381</v>
      </c>
      <c r="J80" s="4">
        <f t="shared" si="61"/>
        <v>0.7</v>
      </c>
      <c r="K80" s="6">
        <f t="shared" si="56"/>
        <v>7.4998612164837812E-5</v>
      </c>
      <c r="L80" s="9">
        <f t="shared" si="62"/>
        <v>234531120441019.87</v>
      </c>
      <c r="M80" s="6">
        <f t="shared" si="57"/>
        <v>1422753617398568</v>
      </c>
      <c r="N80" s="2">
        <f t="shared" si="58"/>
        <v>7.6923076923076925</v>
      </c>
      <c r="O80" s="12">
        <v>1300</v>
      </c>
      <c r="P80" s="13"/>
      <c r="Q80" s="6">
        <f>L80/(1+L80/M80/K80)*D80</f>
        <v>101531247626.22911</v>
      </c>
      <c r="R80" s="6"/>
      <c r="S80" s="6"/>
    </row>
    <row r="81" spans="4:19" ht="15.75">
      <c r="D81" s="2">
        <f>10^E81</f>
        <v>0.95400971533982182</v>
      </c>
      <c r="E81" s="2">
        <f>LOG(J81)/(1+(F81/(I81-0.14*F81))^2)</f>
        <v>-2.0447202552728541E-2</v>
      </c>
      <c r="F81" s="2">
        <f>LOG(G81)+H81</f>
        <v>-3.7873882159359433</v>
      </c>
      <c r="G81" s="6">
        <f>M81*K81/L81</f>
        <v>3.2272118151933297E-4</v>
      </c>
      <c r="H81" s="2">
        <f>-0.4-0.67*LOG(J81)</f>
        <v>-0.29621568680955207</v>
      </c>
      <c r="I81" s="2">
        <f>0.75-1.27*LOG(J81)</f>
        <v>0.94672548918189381</v>
      </c>
      <c r="J81" s="4">
        <f t="shared" si="61"/>
        <v>0.7</v>
      </c>
      <c r="K81" s="6">
        <f>$P$69*101325/760/8.314/O81/1000000</f>
        <v>6.4998797209526099E-5</v>
      </c>
      <c r="L81" s="9">
        <f t="shared" si="62"/>
        <v>241340417502550.47</v>
      </c>
      <c r="M81" s="6">
        <f>$B$7*O81^$B$8*EXP(-$B$9/1.987/O81)</f>
        <v>1198263168374097.5</v>
      </c>
      <c r="N81" s="2">
        <f>10000/O81</f>
        <v>6.666666666666667</v>
      </c>
      <c r="O81" s="12">
        <v>1500</v>
      </c>
      <c r="P81" s="13"/>
      <c r="Q81" s="6">
        <f>L81/(1+L81/M81/K81)*D81</f>
        <v>74279709159.488556</v>
      </c>
      <c r="R81" s="6"/>
    </row>
    <row r="82" spans="4:19" ht="15.75">
      <c r="D82" s="2">
        <f>10^E82</f>
        <v>0.95638299073065725</v>
      </c>
      <c r="E82" s="2">
        <f>LOG(J82)/(1+(F82/(I82-0.14*F82))^2)</f>
        <v>-1.93681564139641E-2</v>
      </c>
      <c r="F82" s="2">
        <f>LOG(G82)+H82</f>
        <v>-3.9774232064502431</v>
      </c>
      <c r="G82" s="6">
        <f>M82*K82/L82</f>
        <v>2.0834950853492604E-4</v>
      </c>
      <c r="H82" s="2">
        <f>-0.4-0.67*LOG(J82)</f>
        <v>-0.29621568680955207</v>
      </c>
      <c r="I82" s="2">
        <f>0.75-1.27*LOG(J82)</f>
        <v>0.94672548918189381</v>
      </c>
      <c r="J82" s="4">
        <f t="shared" si="61"/>
        <v>0.7</v>
      </c>
      <c r="K82" s="6">
        <f>$P$69*101325/760/8.314/O82/1000000</f>
        <v>5.4165664341271753E-5</v>
      </c>
      <c r="L82" s="9">
        <f t="shared" si="62"/>
        <v>250303146415970.06</v>
      </c>
      <c r="M82" s="6">
        <f>$B$7*O82^$B$8*EXP(-$B$9/1.987/O82)</f>
        <v>962796970640618</v>
      </c>
      <c r="N82" s="2">
        <f>10000/O82</f>
        <v>5.5555555555555554</v>
      </c>
      <c r="O82" s="12">
        <v>1800</v>
      </c>
      <c r="P82" s="13"/>
      <c r="Q82" s="6">
        <f>L82/(1+L82/M82/K82)*D82</f>
        <v>49865497609.287476</v>
      </c>
      <c r="R82" s="6"/>
    </row>
    <row r="83" spans="4:19">
      <c r="D83" s="2" t="s">
        <v>4</v>
      </c>
      <c r="E83" s="2" t="s">
        <v>5</v>
      </c>
      <c r="F83" t="s">
        <v>6</v>
      </c>
      <c r="G83" t="s">
        <v>7</v>
      </c>
      <c r="H83" t="s">
        <v>8</v>
      </c>
      <c r="I83" t="s">
        <v>9</v>
      </c>
      <c r="J83" t="s">
        <v>10</v>
      </c>
      <c r="K83" t="s">
        <v>11</v>
      </c>
      <c r="L83" t="s">
        <v>12</v>
      </c>
      <c r="M83" t="s">
        <v>13</v>
      </c>
      <c r="N83" t="s">
        <v>14</v>
      </c>
      <c r="P83">
        <f>760*8.7</f>
        <v>6611.9999999999991</v>
      </c>
      <c r="Q83" t="s">
        <v>16</v>
      </c>
      <c r="R83" s="6"/>
    </row>
    <row r="84" spans="4:19" ht="15.75">
      <c r="D84" s="2">
        <f t="shared" ref="D84:D94" si="63">10^E84</f>
        <v>0.9106226302755861</v>
      </c>
      <c r="E84" s="2">
        <f t="shared" ref="E84:E94" si="64">LOG(J84)/(1+(F84/(I84-0.14*F84))^2)</f>
        <v>-4.0661561054308799E-2</v>
      </c>
      <c r="F84" s="2">
        <f t="shared" ref="F84:F94" si="65">LOG(G84)+H84</f>
        <v>-2.0734309399028232</v>
      </c>
      <c r="G84" s="6">
        <f t="shared" ref="G84:G94" si="66">M84*K84/L84</f>
        <v>1.6702625625828086E-2</v>
      </c>
      <c r="H84" s="2">
        <f>-0.4-0.67*LOG(J84)</f>
        <v>-0.29621568680955207</v>
      </c>
      <c r="I84" s="2">
        <f t="shared" ref="I84:I94" si="67">0.75-1.27*LOG(J84)</f>
        <v>0.94672548918189381</v>
      </c>
      <c r="J84" s="4">
        <f>(1-$B$10)*EXP(-O84/$B$11)+$B$10*EXP(-O84/$B$12)+EXP(-B$13/O84)</f>
        <v>0.7</v>
      </c>
      <c r="K84" s="6">
        <f t="shared" ref="K84:K94" si="68">$P$83*101325/760/8.314/O84/1000000</f>
        <v>3.5343095982679813E-4</v>
      </c>
      <c r="L84" s="9">
        <f>B$4*O84^B$5*EXP(-B$6/1.987/O84)</f>
        <v>174918626629333.09</v>
      </c>
      <c r="M84" s="6">
        <f t="shared" ref="M84:M94" si="69">$B$7*O84^$B$8*EXP(-$B$9/1.987/O84)</f>
        <v>8266396178211182</v>
      </c>
      <c r="N84" s="2">
        <f t="shared" ref="N84:N94" si="70">10000/O84</f>
        <v>33.333333333333336</v>
      </c>
      <c r="O84" s="12">
        <v>300</v>
      </c>
      <c r="P84" s="13"/>
      <c r="Q84" s="20">
        <f t="shared" ref="Q84:Q94" si="71">L84/(1+L84/M84/K84)*D84</f>
        <v>2616768477957.416</v>
      </c>
      <c r="R84" s="6"/>
      <c r="S84" s="6"/>
    </row>
    <row r="85" spans="4:19" ht="15.75">
      <c r="D85" s="2">
        <f t="shared" si="63"/>
        <v>0.92286393738940564</v>
      </c>
      <c r="E85" s="2">
        <f t="shared" si="64"/>
        <v>-3.4862324539444704E-2</v>
      </c>
      <c r="F85" s="2">
        <f t="shared" si="65"/>
        <v>-2.3732839077627434</v>
      </c>
      <c r="G85" s="6">
        <f t="shared" si="66"/>
        <v>8.3739772954932439E-3</v>
      </c>
      <c r="H85" s="2">
        <f t="shared" ref="H85:H94" si="72">-0.4-0.67*LOG(J85)</f>
        <v>-0.29621568680955207</v>
      </c>
      <c r="I85" s="2">
        <f t="shared" si="67"/>
        <v>0.94672548918189381</v>
      </c>
      <c r="J85" s="4">
        <f t="shared" ref="J85:J96" si="73">(1-$B$10)*EXP(-O85/$B$11)+$B$10*EXP(-O85/$B$12)+EXP(-B$13/O85)</f>
        <v>0.7</v>
      </c>
      <c r="K85" s="6">
        <f t="shared" si="68"/>
        <v>2.6507321987009858E-4</v>
      </c>
      <c r="L85" s="9">
        <f t="shared" ref="L85:L96" si="74">B$4*O85^B$5*EXP(-B$6/1.987/O85)</f>
        <v>185277979569305.25</v>
      </c>
      <c r="M85" s="6">
        <f t="shared" si="69"/>
        <v>5853151046448811</v>
      </c>
      <c r="N85" s="2">
        <f t="shared" si="70"/>
        <v>25</v>
      </c>
      <c r="O85" s="12">
        <v>400</v>
      </c>
      <c r="P85" s="13"/>
      <c r="Q85" s="6">
        <f t="shared" si="71"/>
        <v>1419945354361.2988</v>
      </c>
      <c r="R85" s="6"/>
    </row>
    <row r="86" spans="4:19" ht="15.75">
      <c r="D86" s="2">
        <f t="shared" si="63"/>
        <v>0.9304471756698155</v>
      </c>
      <c r="E86" s="2">
        <f t="shared" si="64"/>
        <v>-3.130827805854608E-2</v>
      </c>
      <c r="F86" s="2">
        <f t="shared" si="65"/>
        <v>-2.6058679389820787</v>
      </c>
      <c r="G86" s="6">
        <f t="shared" si="66"/>
        <v>4.9017115161008517E-3</v>
      </c>
      <c r="H86" s="2">
        <f t="shared" si="72"/>
        <v>-0.29621568680955207</v>
      </c>
      <c r="I86" s="2">
        <f t="shared" si="67"/>
        <v>0.94672548918189381</v>
      </c>
      <c r="J86" s="4">
        <f t="shared" si="73"/>
        <v>0.7</v>
      </c>
      <c r="K86" s="6">
        <f t="shared" si="68"/>
        <v>2.1205857589607887E-4</v>
      </c>
      <c r="L86" s="9">
        <f t="shared" si="74"/>
        <v>193733983661863.44</v>
      </c>
      <c r="M86" s="6">
        <f t="shared" si="69"/>
        <v>4478140507935994.5</v>
      </c>
      <c r="N86" s="2">
        <f t="shared" si="70"/>
        <v>20</v>
      </c>
      <c r="O86" s="12">
        <v>500</v>
      </c>
      <c r="P86" s="13"/>
      <c r="Q86" s="6">
        <f t="shared" si="71"/>
        <v>879268860144.79358</v>
      </c>
      <c r="R86" s="6"/>
    </row>
    <row r="87" spans="4:19" ht="15.75">
      <c r="D87" s="2">
        <f t="shared" si="63"/>
        <v>0.93568565171315665</v>
      </c>
      <c r="E87" s="2">
        <f t="shared" si="64"/>
        <v>-2.8870030167928423E-2</v>
      </c>
      <c r="F87" s="2">
        <f t="shared" si="65"/>
        <v>-2.7959029294963784</v>
      </c>
      <c r="G87" s="6">
        <f t="shared" si="66"/>
        <v>3.1645557956610903E-3</v>
      </c>
      <c r="H87" s="2">
        <f t="shared" si="72"/>
        <v>-0.29621568680955207</v>
      </c>
      <c r="I87" s="2">
        <f t="shared" si="67"/>
        <v>0.94672548918189381</v>
      </c>
      <c r="J87" s="4">
        <f t="shared" si="73"/>
        <v>0.7</v>
      </c>
      <c r="K87" s="6">
        <f t="shared" si="68"/>
        <v>1.7671547991339906E-4</v>
      </c>
      <c r="L87" s="9">
        <f t="shared" si="74"/>
        <v>200928738667455.53</v>
      </c>
      <c r="M87" s="6">
        <f t="shared" si="69"/>
        <v>3598157924685335</v>
      </c>
      <c r="N87" s="2">
        <f t="shared" si="70"/>
        <v>16.666666666666668</v>
      </c>
      <c r="O87" s="12">
        <v>600</v>
      </c>
      <c r="P87" s="13"/>
      <c r="Q87" s="6">
        <f t="shared" si="71"/>
        <v>593079081113.32593</v>
      </c>
      <c r="R87" s="6"/>
    </row>
    <row r="88" spans="4:19" ht="15.75">
      <c r="D88" s="2">
        <f t="shared" si="63"/>
        <v>0.93956477517140524</v>
      </c>
      <c r="E88" s="2">
        <f t="shared" si="64"/>
        <v>-2.7073273541351271E-2</v>
      </c>
      <c r="F88" s="2">
        <f t="shared" si="65"/>
        <v>-2.9565752246098498</v>
      </c>
      <c r="G88" s="6">
        <f t="shared" si="66"/>
        <v>2.185951199153398E-3</v>
      </c>
      <c r="H88" s="2">
        <f t="shared" si="72"/>
        <v>-0.29621568680955207</v>
      </c>
      <c r="I88" s="2">
        <f t="shared" si="67"/>
        <v>0.94672548918189381</v>
      </c>
      <c r="J88" s="4">
        <f t="shared" si="73"/>
        <v>0.7</v>
      </c>
      <c r="K88" s="6">
        <f t="shared" si="68"/>
        <v>1.5147041135434204E-4</v>
      </c>
      <c r="L88" s="9">
        <f t="shared" si="74"/>
        <v>207219879055280.06</v>
      </c>
      <c r="M88" s="6">
        <f t="shared" si="69"/>
        <v>2990501835039261</v>
      </c>
      <c r="N88" s="2">
        <f t="shared" si="70"/>
        <v>14.285714285714286</v>
      </c>
      <c r="O88" s="12">
        <v>700</v>
      </c>
      <c r="P88" s="13"/>
      <c r="Q88" s="6">
        <f t="shared" si="71"/>
        <v>424668740482.8186</v>
      </c>
      <c r="R88" s="6"/>
    </row>
    <row r="89" spans="4:19" ht="15.75">
      <c r="D89" s="2">
        <f t="shared" si="63"/>
        <v>0.94257864746241438</v>
      </c>
      <c r="E89" s="2">
        <f t="shared" si="64"/>
        <v>-2.5682402677680186E-2</v>
      </c>
      <c r="F89" s="2">
        <f t="shared" si="65"/>
        <v>-3.0957558973562977</v>
      </c>
      <c r="G89" s="6">
        <f t="shared" si="66"/>
        <v>1.5865720142951324E-3</v>
      </c>
      <c r="H89" s="2">
        <f t="shared" si="72"/>
        <v>-0.29621568680955207</v>
      </c>
      <c r="I89" s="2">
        <f t="shared" si="67"/>
        <v>0.94672548918189381</v>
      </c>
      <c r="J89" s="4">
        <f t="shared" si="73"/>
        <v>0.7</v>
      </c>
      <c r="K89" s="6">
        <f t="shared" si="68"/>
        <v>1.3253660993504929E-4</v>
      </c>
      <c r="L89" s="9">
        <f t="shared" si="74"/>
        <v>212828510348435.22</v>
      </c>
      <c r="M89" s="6">
        <f t="shared" si="69"/>
        <v>2547731970271657.5</v>
      </c>
      <c r="N89" s="2">
        <f t="shared" si="70"/>
        <v>12.5</v>
      </c>
      <c r="O89" s="12">
        <v>800</v>
      </c>
      <c r="P89" s="13"/>
      <c r="Q89" s="6">
        <f t="shared" si="71"/>
        <v>317774247241.8764</v>
      </c>
      <c r="R89" s="6"/>
    </row>
    <row r="90" spans="4:19" ht="15.75">
      <c r="D90" s="2">
        <f t="shared" si="63"/>
        <v>0.94500396974466516</v>
      </c>
      <c r="E90" s="2">
        <f t="shared" si="64"/>
        <v>-2.4566367115518531E-2</v>
      </c>
      <c r="F90" s="2">
        <f t="shared" si="65"/>
        <v>-3.2185219512300134</v>
      </c>
      <c r="G90" s="6">
        <f t="shared" si="66"/>
        <v>1.1958968875210359E-3</v>
      </c>
      <c r="H90" s="2">
        <f t="shared" si="72"/>
        <v>-0.29621568680955207</v>
      </c>
      <c r="I90" s="2">
        <f t="shared" si="67"/>
        <v>0.94672548918189381</v>
      </c>
      <c r="J90" s="4">
        <f t="shared" si="73"/>
        <v>0.7</v>
      </c>
      <c r="K90" s="6">
        <f t="shared" si="68"/>
        <v>1.1781031994226604E-4</v>
      </c>
      <c r="L90" s="9">
        <f t="shared" si="74"/>
        <v>217901545107214.97</v>
      </c>
      <c r="M90" s="6">
        <f t="shared" si="69"/>
        <v>2211926592742013.2</v>
      </c>
      <c r="N90" s="2">
        <f t="shared" si="70"/>
        <v>11.111111111111111</v>
      </c>
      <c r="O90" s="12">
        <v>900</v>
      </c>
      <c r="P90" s="13"/>
      <c r="Q90" s="6">
        <f t="shared" si="71"/>
        <v>245962340572.26715</v>
      </c>
    </row>
    <row r="91" spans="4:19" ht="15.75">
      <c r="D91" s="2">
        <f t="shared" si="63"/>
        <v>0.94700860379334295</v>
      </c>
      <c r="E91" s="2">
        <f t="shared" si="64"/>
        <v>-2.3646075312462166E-2</v>
      </c>
      <c r="F91" s="2">
        <f t="shared" si="65"/>
        <v>-3.3283399285756334</v>
      </c>
      <c r="G91" s="6">
        <f t="shared" si="66"/>
        <v>9.2870066865110754E-4</v>
      </c>
      <c r="H91" s="2">
        <f t="shared" si="72"/>
        <v>-0.29621568680955207</v>
      </c>
      <c r="I91" s="2">
        <f t="shared" si="67"/>
        <v>0.94672548918189381</v>
      </c>
      <c r="J91" s="4">
        <f t="shared" si="73"/>
        <v>0.7</v>
      </c>
      <c r="K91" s="6">
        <f t="shared" si="68"/>
        <v>1.0602928794803943E-4</v>
      </c>
      <c r="L91" s="9">
        <f t="shared" si="74"/>
        <v>222541908339404.97</v>
      </c>
      <c r="M91" s="6">
        <f t="shared" si="69"/>
        <v>1949223870851435.5</v>
      </c>
      <c r="N91" s="2">
        <f t="shared" si="70"/>
        <v>10</v>
      </c>
      <c r="O91" s="12">
        <v>1000</v>
      </c>
      <c r="P91" s="13"/>
      <c r="Q91" s="6">
        <f t="shared" si="71"/>
        <v>195541232580.56693</v>
      </c>
      <c r="R91" s="6"/>
    </row>
    <row r="92" spans="4:19" ht="15.75">
      <c r="D92" s="2">
        <f t="shared" si="63"/>
        <v>0.94870075194634573</v>
      </c>
      <c r="E92" s="2">
        <f t="shared" si="64"/>
        <v>-2.2870755194569013E-2</v>
      </c>
      <c r="F92" s="2">
        <f t="shared" si="65"/>
        <v>-3.4276823729553736</v>
      </c>
      <c r="G92" s="6">
        <f t="shared" si="66"/>
        <v>7.3881093351735089E-4</v>
      </c>
      <c r="H92" s="2">
        <f t="shared" si="72"/>
        <v>-0.29621568680955207</v>
      </c>
      <c r="I92" s="2">
        <f t="shared" si="67"/>
        <v>0.94672548918189381</v>
      </c>
      <c r="J92" s="4">
        <f t="shared" si="73"/>
        <v>0.7</v>
      </c>
      <c r="K92" s="6">
        <f t="shared" si="68"/>
        <v>9.6390261770944944E-5</v>
      </c>
      <c r="L92" s="9">
        <f t="shared" si="74"/>
        <v>226824699879569.84</v>
      </c>
      <c r="M92" s="6">
        <f t="shared" si="69"/>
        <v>1738563265457714.2</v>
      </c>
      <c r="N92" s="2">
        <f t="shared" si="70"/>
        <v>9.0909090909090917</v>
      </c>
      <c r="O92" s="12">
        <v>1100</v>
      </c>
      <c r="P92" s="13"/>
      <c r="Q92" s="6">
        <f t="shared" si="71"/>
        <v>158866438860.5322</v>
      </c>
      <c r="R92" s="6"/>
      <c r="S92" s="6"/>
    </row>
    <row r="93" spans="4:19" ht="15.75">
      <c r="D93" s="2">
        <f t="shared" si="63"/>
        <v>0.95015356049567035</v>
      </c>
      <c r="E93" s="2">
        <f t="shared" si="64"/>
        <v>-2.2206199883281812E-2</v>
      </c>
      <c r="F93" s="2">
        <f t="shared" si="65"/>
        <v>-3.5183749190899336</v>
      </c>
      <c r="G93" s="6">
        <f t="shared" si="66"/>
        <v>5.9957120564125047E-4</v>
      </c>
      <c r="H93" s="2">
        <f t="shared" si="72"/>
        <v>-0.29621568680955207</v>
      </c>
      <c r="I93" s="2">
        <f t="shared" si="67"/>
        <v>0.94672548918189381</v>
      </c>
      <c r="J93" s="4">
        <f t="shared" si="73"/>
        <v>0.7</v>
      </c>
      <c r="K93" s="6">
        <f t="shared" si="68"/>
        <v>8.8357739956699532E-5</v>
      </c>
      <c r="L93" s="9">
        <f t="shared" si="74"/>
        <v>230806511578935.31</v>
      </c>
      <c r="M93" s="6">
        <f t="shared" si="69"/>
        <v>1566189204081614.2</v>
      </c>
      <c r="N93" s="2">
        <f t="shared" si="70"/>
        <v>8.3333333333333339</v>
      </c>
      <c r="O93" s="12">
        <v>1200</v>
      </c>
      <c r="P93" s="13"/>
      <c r="Q93" s="6">
        <f t="shared" si="71"/>
        <v>131408153411.13666</v>
      </c>
      <c r="R93" s="6"/>
      <c r="S93" s="6"/>
    </row>
    <row r="94" spans="4:19" ht="15.75">
      <c r="D94" s="2">
        <f t="shared" si="63"/>
        <v>0.95141841056913434</v>
      </c>
      <c r="E94" s="2">
        <f t="shared" si="64"/>
        <v>-2.1628448952250041E-2</v>
      </c>
      <c r="F94" s="2">
        <f t="shared" si="65"/>
        <v>-3.6018039741120416</v>
      </c>
      <c r="G94" s="6">
        <f t="shared" si="66"/>
        <v>4.9477951744936752E-4</v>
      </c>
      <c r="H94" s="2">
        <f t="shared" si="72"/>
        <v>-0.29621568680955207</v>
      </c>
      <c r="I94" s="2">
        <f t="shared" si="67"/>
        <v>0.94672548918189381</v>
      </c>
      <c r="J94" s="4">
        <f t="shared" si="73"/>
        <v>0.7</v>
      </c>
      <c r="K94" s="6">
        <f t="shared" si="68"/>
        <v>8.1560990729261107E-5</v>
      </c>
      <c r="L94" s="9">
        <f t="shared" si="74"/>
        <v>234531120441019.87</v>
      </c>
      <c r="M94" s="6">
        <f t="shared" si="69"/>
        <v>1422753617398568</v>
      </c>
      <c r="N94" s="2">
        <f t="shared" si="70"/>
        <v>7.6923076923076925</v>
      </c>
      <c r="O94" s="12">
        <v>1300</v>
      </c>
      <c r="P94" s="13"/>
      <c r="Q94" s="6">
        <f t="shared" si="71"/>
        <v>110349130436.09952</v>
      </c>
      <c r="R94" s="6"/>
      <c r="S94" s="6"/>
    </row>
    <row r="95" spans="4:19" ht="15.75">
      <c r="D95" s="2">
        <f>10^E95</f>
        <v>0.95352371250122403</v>
      </c>
      <c r="E95" s="2">
        <f>LOG(J95)/(1+(F95/(I95-0.14*F95))^2)</f>
        <v>-2.0668502323918675E-2</v>
      </c>
      <c r="F95" s="2">
        <f>LOG(G95)+H95</f>
        <v>-3.7509589503092684</v>
      </c>
      <c r="G95" s="6">
        <f>M95*K95/L95</f>
        <v>3.509592849022746E-4</v>
      </c>
      <c r="H95" s="2">
        <f>-0.4-0.67*LOG(J95)</f>
        <v>-0.29621568680955207</v>
      </c>
      <c r="I95" s="2">
        <f>0.75-1.27*LOG(J95)</f>
        <v>0.94672548918189381</v>
      </c>
      <c r="J95" s="4">
        <f t="shared" si="73"/>
        <v>0.7</v>
      </c>
      <c r="K95" s="6">
        <f>$P$83*101325/760/8.314/O95/1000000</f>
        <v>7.0686191965359631E-5</v>
      </c>
      <c r="L95" s="9">
        <f t="shared" si="74"/>
        <v>241340417502550.47</v>
      </c>
      <c r="M95" s="6">
        <f>$B$7*O95^$B$8*EXP(-$B$9/1.987/O95)</f>
        <v>1198263168374097.5</v>
      </c>
      <c r="N95" s="2">
        <f>10000/O95</f>
        <v>6.666666666666667</v>
      </c>
      <c r="O95" s="12">
        <v>1500</v>
      </c>
      <c r="P95" s="13"/>
      <c r="Q95" s="6">
        <f>L95/(1+L95/M95/K95)*D95</f>
        <v>80735753141.006104</v>
      </c>
      <c r="R95" s="6"/>
      <c r="S95" s="6"/>
    </row>
    <row r="96" spans="4:19" ht="15.75">
      <c r="D96" s="2">
        <f>10^E96</f>
        <v>0.95594804719253168</v>
      </c>
      <c r="E96" s="2">
        <f>LOG(J96)/(1+(F96/(I96-0.14*F96))^2)</f>
        <v>-1.9565709638859476E-2</v>
      </c>
      <c r="F96" s="2">
        <f>LOG(G96)+H96</f>
        <v>-3.9409939408235686</v>
      </c>
      <c r="G96" s="6">
        <f>M96*K96/L96</f>
        <v>2.2658009053173198E-4</v>
      </c>
      <c r="H96" s="2">
        <f>-0.4-0.67*LOG(J96)</f>
        <v>-0.29621568680955207</v>
      </c>
      <c r="I96" s="2">
        <f>0.75-1.27*LOG(J96)</f>
        <v>0.94672548918189381</v>
      </c>
      <c r="J96" s="4">
        <f t="shared" si="73"/>
        <v>0.7</v>
      </c>
      <c r="K96" s="6">
        <f>$P$83*101325/760/8.314/O96/1000000</f>
        <v>5.8905159971133019E-5</v>
      </c>
      <c r="L96" s="9">
        <f t="shared" si="74"/>
        <v>250303146415970.06</v>
      </c>
      <c r="M96" s="6">
        <f>$B$7*O96^$B$8*EXP(-$B$9/1.987/O96)</f>
        <v>962796970640618</v>
      </c>
      <c r="N96" s="2">
        <f>10000/O96</f>
        <v>5.5555555555555554</v>
      </c>
      <c r="O96" s="12">
        <v>1800</v>
      </c>
      <c r="P96" s="13"/>
      <c r="Q96" s="6">
        <f>L96/(1+L96/M96/K96)*D96</f>
        <v>54203078579.108383</v>
      </c>
      <c r="R96" s="6"/>
      <c r="S96" s="6"/>
    </row>
    <row r="97" spans="4:19">
      <c r="D97" s="2" t="s">
        <v>4</v>
      </c>
      <c r="E97" s="2" t="s">
        <v>5</v>
      </c>
      <c r="F97" t="s">
        <v>6</v>
      </c>
      <c r="G97" t="s">
        <v>7</v>
      </c>
      <c r="H97" t="s">
        <v>8</v>
      </c>
      <c r="I97" t="s">
        <v>9</v>
      </c>
      <c r="J97" t="s">
        <v>10</v>
      </c>
      <c r="K97" t="s">
        <v>11</v>
      </c>
      <c r="L97" t="s">
        <v>12</v>
      </c>
      <c r="M97" t="s">
        <v>13</v>
      </c>
      <c r="N97" s="2" t="s">
        <v>14</v>
      </c>
      <c r="P97">
        <f>760*10</f>
        <v>7600</v>
      </c>
      <c r="Q97" s="6" t="s">
        <v>16</v>
      </c>
      <c r="R97" s="6"/>
      <c r="S97" s="6"/>
    </row>
    <row r="98" spans="4:19" ht="15.75">
      <c r="D98" s="2">
        <f t="shared" ref="D98:D108" si="75">10^E98</f>
        <v>0.90773745490938007</v>
      </c>
      <c r="E98" s="2">
        <f t="shared" ref="E98:E108" si="76">LOG(J98)/(1+(F98/(I98-0.14*F98))^2)</f>
        <v>-4.2039744399403861E-2</v>
      </c>
      <c r="F98" s="2">
        <f t="shared" ref="F98:F108" si="77">LOG(G98)+H98</f>
        <v>-2.0129501925214419</v>
      </c>
      <c r="G98" s="6">
        <f t="shared" ref="G98:G108" si="78">M98*K98/L98</f>
        <v>1.9198420259572517E-2</v>
      </c>
      <c r="H98" s="2">
        <f>-0.4-0.67*LOG(J98)</f>
        <v>-0.29621568680955207</v>
      </c>
      <c r="I98" s="2">
        <f t="shared" ref="I98:I108" si="79">0.75-1.27*LOG(J98)</f>
        <v>0.94672548918189381</v>
      </c>
      <c r="J98" s="4">
        <f>(1-$B$10)*EXP(-O98/$B$11)+$B$10*EXP(-O98/$B$12)+EXP(-B$13/O98)</f>
        <v>0.7</v>
      </c>
      <c r="K98" s="6">
        <f t="shared" ref="K98:K108" si="80">$P$97*101325/760/8.314/O98/1000000</f>
        <v>4.0624248255953814E-4</v>
      </c>
      <c r="L98" s="9">
        <f>B$4*O98^B$5*EXP(-B$6/1.987/O98)</f>
        <v>174918626629333.09</v>
      </c>
      <c r="M98" s="6">
        <f t="shared" ref="M98:M108" si="81">$B$7*O98^$B$8*EXP(-$B$9/1.987/O98)</f>
        <v>8266396178211182</v>
      </c>
      <c r="N98" s="2">
        <f t="shared" ref="N98:N108" si="82">10000/O98</f>
        <v>33.333333333333336</v>
      </c>
      <c r="O98" s="12">
        <v>300</v>
      </c>
      <c r="P98" s="13"/>
      <c r="Q98" s="6">
        <f t="shared" ref="Q98:Q108" si="83">L98/(1+L98/M98/K98)*D98</f>
        <v>2990908086016.2295</v>
      </c>
      <c r="R98" s="27"/>
      <c r="S98" s="27"/>
    </row>
    <row r="99" spans="4:19" ht="15.75">
      <c r="D99" s="2">
        <f t="shared" si="75"/>
        <v>0.92064216095798312</v>
      </c>
      <c r="E99" s="2">
        <f t="shared" si="76"/>
        <v>-3.590914039996717E-2</v>
      </c>
      <c r="F99" s="2">
        <f t="shared" si="77"/>
        <v>-2.3128031603813617</v>
      </c>
      <c r="G99" s="6">
        <f t="shared" si="78"/>
        <v>9.6252612591876396E-3</v>
      </c>
      <c r="H99" s="2">
        <f t="shared" ref="H99:H108" si="84">-0.4-0.67*LOG(J99)</f>
        <v>-0.29621568680955207</v>
      </c>
      <c r="I99" s="2">
        <f t="shared" si="79"/>
        <v>0.94672548918189381</v>
      </c>
      <c r="J99" s="4">
        <f t="shared" ref="J99:J110" si="85">(1-$B$10)*EXP(-O99/$B$11)+$B$10*EXP(-O99/$B$12)+EXP(-B$13/O99)</f>
        <v>0.7</v>
      </c>
      <c r="K99" s="6">
        <f t="shared" si="80"/>
        <v>3.046818619196536E-4</v>
      </c>
      <c r="L99" s="9">
        <f t="shared" ref="L99:L110" si="86">B$4*O99^B$5*EXP(-B$6/1.987/O99)</f>
        <v>185277979569305.25</v>
      </c>
      <c r="M99" s="6">
        <f t="shared" si="81"/>
        <v>5853151046448811</v>
      </c>
      <c r="N99" s="2">
        <f t="shared" si="82"/>
        <v>25</v>
      </c>
      <c r="O99" s="12">
        <v>400</v>
      </c>
      <c r="P99" s="13"/>
      <c r="Q99" s="20">
        <f t="shared" si="83"/>
        <v>1626173890739.3218</v>
      </c>
      <c r="R99" s="27"/>
      <c r="S99" s="27"/>
    </row>
    <row r="100" spans="4:19" ht="15.75">
      <c r="D100" s="2">
        <f t="shared" si="75"/>
        <v>0.92861024564395689</v>
      </c>
      <c r="E100" s="2">
        <f t="shared" si="76"/>
        <v>-3.216652893811215E-2</v>
      </c>
      <c r="F100" s="2">
        <f t="shared" si="77"/>
        <v>-2.5453871916006969</v>
      </c>
      <c r="G100" s="6">
        <f t="shared" si="78"/>
        <v>5.6341511679320142E-3</v>
      </c>
      <c r="H100" s="2">
        <f t="shared" si="84"/>
        <v>-0.29621568680955207</v>
      </c>
      <c r="I100" s="2">
        <f t="shared" si="79"/>
        <v>0.94672548918189381</v>
      </c>
      <c r="J100" s="4">
        <f t="shared" si="85"/>
        <v>0.7</v>
      </c>
      <c r="K100" s="6">
        <f t="shared" si="80"/>
        <v>2.4374548953572288E-4</v>
      </c>
      <c r="L100" s="9">
        <f t="shared" si="86"/>
        <v>193733983661863.44</v>
      </c>
      <c r="M100" s="6">
        <f t="shared" si="81"/>
        <v>4478140507935994.5</v>
      </c>
      <c r="N100" s="2">
        <f t="shared" si="82"/>
        <v>20</v>
      </c>
      <c r="O100" s="12">
        <v>500</v>
      </c>
      <c r="P100" s="13"/>
      <c r="Q100" s="6">
        <f t="shared" si="83"/>
        <v>1007923942160.4976</v>
      </c>
      <c r="R100" s="6"/>
    </row>
    <row r="101" spans="4:19" ht="15.75">
      <c r="D101" s="2">
        <f t="shared" si="75"/>
        <v>0.93410065334095316</v>
      </c>
      <c r="E101" s="2">
        <f t="shared" si="76"/>
        <v>-2.9606324160340456E-2</v>
      </c>
      <c r="F101" s="2">
        <f t="shared" si="77"/>
        <v>-2.7354221821149967</v>
      </c>
      <c r="G101" s="6">
        <f t="shared" si="78"/>
        <v>3.6374204547828626E-3</v>
      </c>
      <c r="H101" s="2">
        <f t="shared" si="84"/>
        <v>-0.29621568680955207</v>
      </c>
      <c r="I101" s="2">
        <f t="shared" si="79"/>
        <v>0.94672548918189381</v>
      </c>
      <c r="J101" s="4">
        <f t="shared" si="85"/>
        <v>0.7</v>
      </c>
      <c r="K101" s="6">
        <f t="shared" si="80"/>
        <v>2.0312124127976907E-4</v>
      </c>
      <c r="L101" s="9">
        <f t="shared" si="86"/>
        <v>200928738667455.53</v>
      </c>
      <c r="M101" s="6">
        <f t="shared" si="81"/>
        <v>3598157924685335</v>
      </c>
      <c r="N101" s="2">
        <f t="shared" si="82"/>
        <v>16.666666666666668</v>
      </c>
      <c r="O101" s="12">
        <v>600</v>
      </c>
      <c r="P101" s="13"/>
      <c r="Q101" s="6">
        <f t="shared" si="83"/>
        <v>680224692442.39758</v>
      </c>
      <c r="R101" s="6"/>
    </row>
    <row r="102" spans="4:19" ht="15.75">
      <c r="D102" s="2">
        <f t="shared" si="75"/>
        <v>0.93815817626300413</v>
      </c>
      <c r="E102" s="2">
        <f t="shared" si="76"/>
        <v>-2.7723932104125375E-2</v>
      </c>
      <c r="F102" s="2">
        <f t="shared" si="77"/>
        <v>-2.8960944772284685</v>
      </c>
      <c r="G102" s="6">
        <f t="shared" si="78"/>
        <v>2.5125875852337913E-3</v>
      </c>
      <c r="H102" s="2">
        <f t="shared" si="84"/>
        <v>-0.29621568680955207</v>
      </c>
      <c r="I102" s="2">
        <f t="shared" si="79"/>
        <v>0.94672548918189381</v>
      </c>
      <c r="J102" s="4">
        <f t="shared" si="85"/>
        <v>0.7</v>
      </c>
      <c r="K102" s="6">
        <f t="shared" si="80"/>
        <v>1.7410392109694489E-4</v>
      </c>
      <c r="L102" s="9">
        <f t="shared" si="86"/>
        <v>207219879055280.06</v>
      </c>
      <c r="M102" s="6">
        <f t="shared" si="81"/>
        <v>2990501835039261</v>
      </c>
      <c r="N102" s="2">
        <f t="shared" si="82"/>
        <v>14.285714285714286</v>
      </c>
      <c r="O102" s="12">
        <v>700</v>
      </c>
      <c r="P102" s="13"/>
      <c r="Q102" s="6">
        <f t="shared" si="83"/>
        <v>487235427670.41455</v>
      </c>
      <c r="R102" s="6"/>
    </row>
    <row r="103" spans="4:19" ht="15.75">
      <c r="D103" s="2">
        <f t="shared" si="75"/>
        <v>0.94130549568326782</v>
      </c>
      <c r="E103" s="2">
        <f t="shared" si="76"/>
        <v>-2.6269405735694959E-2</v>
      </c>
      <c r="F103" s="2">
        <f t="shared" si="77"/>
        <v>-3.0352751499749164</v>
      </c>
      <c r="G103" s="6">
        <f t="shared" si="78"/>
        <v>1.8236459934426812E-3</v>
      </c>
      <c r="H103" s="2">
        <f t="shared" si="84"/>
        <v>-0.29621568680955207</v>
      </c>
      <c r="I103" s="2">
        <f t="shared" si="79"/>
        <v>0.94672548918189381</v>
      </c>
      <c r="J103" s="4">
        <f t="shared" si="85"/>
        <v>0.7</v>
      </c>
      <c r="K103" s="6">
        <f t="shared" si="80"/>
        <v>1.523409309598268E-4</v>
      </c>
      <c r="L103" s="9">
        <f t="shared" si="86"/>
        <v>212828510348435.22</v>
      </c>
      <c r="M103" s="6">
        <f t="shared" si="81"/>
        <v>2547731970271657.5</v>
      </c>
      <c r="N103" s="2">
        <f t="shared" si="82"/>
        <v>12.5</v>
      </c>
      <c r="O103" s="12">
        <v>800</v>
      </c>
      <c r="P103" s="13"/>
      <c r="Q103" s="6">
        <f t="shared" si="83"/>
        <v>364678078882.65723</v>
      </c>
      <c r="R103" s="6"/>
    </row>
    <row r="104" spans="4:19" ht="15.75">
      <c r="D104" s="2">
        <f t="shared" si="75"/>
        <v>0.94383474288671354</v>
      </c>
      <c r="E104" s="2">
        <f t="shared" si="76"/>
        <v>-2.5104040167182054E-2</v>
      </c>
      <c r="F104" s="2">
        <f t="shared" si="77"/>
        <v>-3.1580412038486321</v>
      </c>
      <c r="G104" s="6">
        <f t="shared" si="78"/>
        <v>1.3745941235873975E-3</v>
      </c>
      <c r="H104" s="2">
        <f t="shared" si="84"/>
        <v>-0.29621568680955207</v>
      </c>
      <c r="I104" s="2">
        <f t="shared" si="79"/>
        <v>0.94672548918189381</v>
      </c>
      <c r="J104" s="4">
        <f t="shared" si="85"/>
        <v>0.7</v>
      </c>
      <c r="K104" s="6">
        <f t="shared" si="80"/>
        <v>1.3541416085317937E-4</v>
      </c>
      <c r="L104" s="9">
        <f t="shared" si="86"/>
        <v>217901545107214.97</v>
      </c>
      <c r="M104" s="6">
        <f t="shared" si="81"/>
        <v>2211926592742013.2</v>
      </c>
      <c r="N104" s="2">
        <f t="shared" si="82"/>
        <v>11.111111111111111</v>
      </c>
      <c r="O104" s="12">
        <v>900</v>
      </c>
      <c r="P104" s="13"/>
      <c r="Q104" s="6">
        <f t="shared" si="83"/>
        <v>282315149575.16022</v>
      </c>
    </row>
    <row r="105" spans="4:19" ht="15.75">
      <c r="D105" s="2">
        <f t="shared" si="75"/>
        <v>0.94627983224953416</v>
      </c>
      <c r="E105" s="2">
        <f t="shared" si="76"/>
        <v>-2.3980415785525393E-2</v>
      </c>
      <c r="F105" s="2">
        <f t="shared" si="77"/>
        <v>-3.2874772228096756</v>
      </c>
      <c r="G105" s="6">
        <f t="shared" si="78"/>
        <v>1.0203248499566961E-3</v>
      </c>
      <c r="H105" s="2">
        <f t="shared" si="84"/>
        <v>-0.29621568680955207</v>
      </c>
      <c r="I105" s="2">
        <f t="shared" si="79"/>
        <v>0.94672548918189381</v>
      </c>
      <c r="J105" s="4">
        <f t="shared" si="85"/>
        <v>0.7</v>
      </c>
      <c r="K105" s="6">
        <f t="shared" si="80"/>
        <v>1.1960033833941261E-4</v>
      </c>
      <c r="L105" s="9">
        <f t="shared" si="86"/>
        <v>223381212888096.81</v>
      </c>
      <c r="M105" s="6">
        <f t="shared" si="81"/>
        <v>1905691954452305.5</v>
      </c>
      <c r="N105" s="2">
        <f t="shared" si="82"/>
        <v>9.8135426889106974</v>
      </c>
      <c r="O105" s="12">
        <v>1019</v>
      </c>
      <c r="P105" s="13"/>
      <c r="Q105" s="6">
        <f t="shared" si="83"/>
        <v>215457589812.72714</v>
      </c>
      <c r="R105" s="6"/>
      <c r="S105" s="6"/>
    </row>
    <row r="106" spans="4:19" ht="15.75">
      <c r="D106" s="2">
        <f t="shared" si="75"/>
        <v>0.94768366659280301</v>
      </c>
      <c r="E106" s="2">
        <f t="shared" si="76"/>
        <v>-2.3336604412378247E-2</v>
      </c>
      <c r="F106" s="2">
        <f t="shared" si="77"/>
        <v>-3.3672016255739923</v>
      </c>
      <c r="G106" s="6">
        <f t="shared" si="78"/>
        <v>8.492079695601734E-4</v>
      </c>
      <c r="H106" s="2">
        <f t="shared" si="84"/>
        <v>-0.29621568680955207</v>
      </c>
      <c r="I106" s="2">
        <f t="shared" si="79"/>
        <v>0.94672548918189381</v>
      </c>
      <c r="J106" s="4">
        <f t="shared" si="85"/>
        <v>0.7</v>
      </c>
      <c r="K106" s="6">
        <f t="shared" si="80"/>
        <v>1.107934043344195E-4</v>
      </c>
      <c r="L106" s="9">
        <f t="shared" si="86"/>
        <v>226824699879569.84</v>
      </c>
      <c r="M106" s="6">
        <f t="shared" si="81"/>
        <v>1738563265457714.2</v>
      </c>
      <c r="N106" s="2">
        <f t="shared" si="82"/>
        <v>9.0909090909090917</v>
      </c>
      <c r="O106" s="12">
        <v>1100</v>
      </c>
      <c r="P106" s="13"/>
      <c r="Q106" s="6">
        <f t="shared" si="83"/>
        <v>182389214063.80096</v>
      </c>
      <c r="R106" s="27"/>
      <c r="S106" s="27"/>
    </row>
    <row r="107" spans="4:19" ht="15.75">
      <c r="D107" s="2">
        <f t="shared" si="75"/>
        <v>0.94919410248964486</v>
      </c>
      <c r="E107" s="2">
        <f t="shared" si="76"/>
        <v>-2.2644968794522647E-2</v>
      </c>
      <c r="F107" s="2">
        <f t="shared" si="77"/>
        <v>-3.4578941717085518</v>
      </c>
      <c r="G107" s="6">
        <f t="shared" si="78"/>
        <v>6.8916230533477081E-4</v>
      </c>
      <c r="H107" s="2">
        <f t="shared" si="84"/>
        <v>-0.29621568680955207</v>
      </c>
      <c r="I107" s="2">
        <f t="shared" si="79"/>
        <v>0.94672548918189381</v>
      </c>
      <c r="J107" s="4">
        <f t="shared" si="85"/>
        <v>0.7</v>
      </c>
      <c r="K107" s="6">
        <f t="shared" si="80"/>
        <v>1.0156062063988453E-4</v>
      </c>
      <c r="L107" s="9">
        <f t="shared" si="86"/>
        <v>230806511578935.31</v>
      </c>
      <c r="M107" s="6">
        <f t="shared" si="81"/>
        <v>1566189204081614.2</v>
      </c>
      <c r="N107" s="2">
        <f t="shared" si="82"/>
        <v>8.3333333333333339</v>
      </c>
      <c r="O107" s="12">
        <v>1200</v>
      </c>
      <c r="P107" s="13"/>
      <c r="Q107" s="6">
        <f t="shared" si="83"/>
        <v>150877822323.21365</v>
      </c>
      <c r="R107" s="27"/>
      <c r="S107" s="27"/>
    </row>
    <row r="108" spans="4:19" ht="15.75">
      <c r="D108" s="2">
        <f t="shared" si="75"/>
        <v>0.95050809352537569</v>
      </c>
      <c r="E108" s="2">
        <f t="shared" si="76"/>
        <v>-2.2044180788601351E-2</v>
      </c>
      <c r="F108" s="2">
        <f t="shared" si="77"/>
        <v>-3.5413232267306602</v>
      </c>
      <c r="G108" s="6">
        <f t="shared" si="78"/>
        <v>5.6871208902226154E-4</v>
      </c>
      <c r="H108" s="2">
        <f t="shared" si="84"/>
        <v>-0.29621568680955207</v>
      </c>
      <c r="I108" s="2">
        <f t="shared" si="79"/>
        <v>0.94672548918189381</v>
      </c>
      <c r="J108" s="4">
        <f t="shared" si="85"/>
        <v>0.7</v>
      </c>
      <c r="K108" s="6">
        <f t="shared" si="80"/>
        <v>9.3748265206047265E-5</v>
      </c>
      <c r="L108" s="9">
        <f t="shared" si="86"/>
        <v>234531120441019.87</v>
      </c>
      <c r="M108" s="6">
        <f t="shared" si="81"/>
        <v>1422753617398568</v>
      </c>
      <c r="N108" s="2">
        <f t="shared" si="82"/>
        <v>7.6923076923076925</v>
      </c>
      <c r="O108" s="12">
        <v>1300</v>
      </c>
      <c r="P108" s="13"/>
      <c r="Q108" s="6">
        <f t="shared" si="83"/>
        <v>126707359129.17148</v>
      </c>
      <c r="R108" s="27"/>
      <c r="S108" s="27"/>
    </row>
    <row r="109" spans="4:19" ht="15.75">
      <c r="D109" s="2">
        <f>10^E109</f>
        <v>0.95269300227228393</v>
      </c>
      <c r="E109" s="2">
        <f>LOG(J109)/(1+(F109/(I109-0.14*F109))^2)</f>
        <v>-2.1047024753747069E-2</v>
      </c>
      <c r="F109" s="2">
        <f>LOG(G109)+H109</f>
        <v>-3.6904782029278871</v>
      </c>
      <c r="G109" s="6">
        <f>M109*K109/L109</f>
        <v>4.0340147689916627E-4</v>
      </c>
      <c r="H109" s="2">
        <f>-0.4-0.67*LOG(J109)</f>
        <v>-0.29621568680955207</v>
      </c>
      <c r="I109" s="2">
        <f>0.75-1.27*LOG(J109)</f>
        <v>0.94672548918189381</v>
      </c>
      <c r="J109" s="4">
        <f t="shared" si="85"/>
        <v>0.7</v>
      </c>
      <c r="K109" s="6">
        <f>$P$97*101325/760/8.314/O109/1000000</f>
        <v>8.124849651190763E-5</v>
      </c>
      <c r="L109" s="9">
        <f t="shared" si="86"/>
        <v>241340417502550.47</v>
      </c>
      <c r="M109" s="6">
        <f>$B$7*O109^$B$8*EXP(-$B$9/1.987/O109)</f>
        <v>1198263168374097.5</v>
      </c>
      <c r="N109" s="2">
        <f>10000/O109</f>
        <v>6.666666666666667</v>
      </c>
      <c r="O109" s="12">
        <v>1500</v>
      </c>
      <c r="P109" s="13"/>
      <c r="Q109" s="6">
        <f>L109/(1+L109/M109/K109)*D109</f>
        <v>92714008685.126038</v>
      </c>
      <c r="R109" s="27"/>
      <c r="S109" s="27"/>
    </row>
    <row r="110" spans="4:19" ht="15.75">
      <c r="D110" s="2">
        <f>10^E110</f>
        <v>0.95520550976881424</v>
      </c>
      <c r="E110" s="2">
        <f>LOG(J110)/(1+(F110/(I110-0.14*F110))^2)</f>
        <v>-1.9903181131695868E-2</v>
      </c>
      <c r="F110" s="2">
        <f>LOG(G110)+H110</f>
        <v>-3.8805131934421868</v>
      </c>
      <c r="G110" s="6">
        <f>M110*K110/L110</f>
        <v>2.6043688566865746E-4</v>
      </c>
      <c r="H110" s="2">
        <f>-0.4-0.67*LOG(J110)</f>
        <v>-0.29621568680955207</v>
      </c>
      <c r="I110" s="2">
        <f>0.75-1.27*LOG(J110)</f>
        <v>0.94672548918189381</v>
      </c>
      <c r="J110" s="4">
        <f t="shared" si="85"/>
        <v>0.7</v>
      </c>
      <c r="K110" s="6">
        <f>$P$97*101325/760/8.314/O110/1000000</f>
        <v>6.7707080426589685E-5</v>
      </c>
      <c r="L110" s="9">
        <f t="shared" si="86"/>
        <v>250303146415970.06</v>
      </c>
      <c r="M110" s="6">
        <f>$B$7*O110^$B$8*EXP(-$B$9/1.987/O110)</f>
        <v>962796970640618</v>
      </c>
      <c r="N110" s="2">
        <f>10000/O110</f>
        <v>5.5555555555555554</v>
      </c>
      <c r="O110" s="12">
        <v>1800</v>
      </c>
      <c r="P110" s="13"/>
      <c r="Q110" s="6">
        <f>L110/(1+L110/M110/K110)*D110</f>
        <v>62251888307.211502</v>
      </c>
      <c r="R110" s="27"/>
      <c r="S110" s="27"/>
    </row>
    <row r="111" spans="4:19">
      <c r="D111" s="2" t="s">
        <v>4</v>
      </c>
      <c r="E111" s="2" t="s">
        <v>5</v>
      </c>
      <c r="F111" t="s">
        <v>6</v>
      </c>
      <c r="G111" t="s">
        <v>7</v>
      </c>
      <c r="H111" t="s">
        <v>8</v>
      </c>
      <c r="I111" t="s">
        <v>9</v>
      </c>
      <c r="J111" t="s">
        <v>10</v>
      </c>
      <c r="K111" t="s">
        <v>11</v>
      </c>
      <c r="L111" t="s">
        <v>12</v>
      </c>
      <c r="M111" t="s">
        <v>13</v>
      </c>
      <c r="N111" s="2" t="s">
        <v>14</v>
      </c>
      <c r="P111">
        <f>760*11</f>
        <v>8360</v>
      </c>
      <c r="Q111" s="6" t="s">
        <v>16</v>
      </c>
      <c r="R111" s="27"/>
      <c r="S111" s="27"/>
    </row>
    <row r="112" spans="4:19" ht="15.75">
      <c r="D112" s="2">
        <f t="shared" ref="D112:D122" si="87">10^E112</f>
        <v>0.90566977516211156</v>
      </c>
      <c r="E112" s="2">
        <f t="shared" ref="E112:E122" si="88">LOG(J112)/(1+(F112/(I112-0.14*F112))^2)</f>
        <v>-4.3030125687010624E-2</v>
      </c>
      <c r="F112" s="2">
        <f t="shared" ref="F112:F122" si="89">LOG(G112)+H112</f>
        <v>-1.9715575073632166</v>
      </c>
      <c r="G112" s="6">
        <f t="shared" ref="G112:G122" si="90">M112*K112/L112</f>
        <v>2.1118262285529765E-2</v>
      </c>
      <c r="H112" s="2">
        <f>-0.4-0.67*LOG(J112)</f>
        <v>-0.29621568680955207</v>
      </c>
      <c r="I112" s="2">
        <f t="shared" ref="I112:I122" si="91">0.75-1.27*LOG(J112)</f>
        <v>0.94672548918189381</v>
      </c>
      <c r="J112" s="4">
        <f>(1-$B$10)*EXP(-O112/$B$11)+$B$10*EXP(-O112/$B$12)+EXP(-B$13/O112)</f>
        <v>0.7</v>
      </c>
      <c r="K112" s="6">
        <f>$P$111*101325/760/8.314/O112/1000000</f>
        <v>4.4686673081549197E-4</v>
      </c>
      <c r="L112" s="9">
        <f>B$4*O112^B$5*EXP(-B$6/1.987/O112)</f>
        <v>174918626629333.09</v>
      </c>
      <c r="M112" s="6">
        <f t="shared" ref="M112:M122" si="92">$B$7*O112^$B$8*EXP(-$B$9/1.987/O112)</f>
        <v>8266396178211182</v>
      </c>
      <c r="N112" s="2">
        <f t="shared" ref="N112:N122" si="93">10000/O112</f>
        <v>33.333333333333336</v>
      </c>
      <c r="O112" s="12">
        <v>300</v>
      </c>
      <c r="P112" s="13"/>
      <c r="Q112" s="6">
        <f t="shared" ref="Q112:Q122" si="94">L112/(1+L112/M112/K112)*D112</f>
        <v>3276333248835.7056</v>
      </c>
      <c r="R112" s="27"/>
      <c r="S112" s="27"/>
    </row>
    <row r="113" spans="4:19" ht="15.75">
      <c r="D113" s="2">
        <f t="shared" si="87"/>
        <v>0.91905472375041553</v>
      </c>
      <c r="E113" s="2">
        <f t="shared" si="88"/>
        <v>-3.6658628423183355E-2</v>
      </c>
      <c r="F113" s="2">
        <f t="shared" si="89"/>
        <v>-2.2714104752231368</v>
      </c>
      <c r="G113" s="6">
        <f t="shared" si="90"/>
        <v>1.0587787385106403E-2</v>
      </c>
      <c r="H113" s="2">
        <f t="shared" ref="H113:H122" si="95">-0.4-0.67*LOG(J113)</f>
        <v>-0.29621568680955207</v>
      </c>
      <c r="I113" s="2">
        <f t="shared" si="91"/>
        <v>0.94672548918189381</v>
      </c>
      <c r="J113" s="4">
        <f t="shared" ref="J113:J124" si="96">(1-$B$10)*EXP(-O113/$B$11)+$B$10*EXP(-O113/$B$12)+EXP(-B$13/O113)</f>
        <v>0.7</v>
      </c>
      <c r="K113" s="6">
        <f t="shared" ref="K113:K122" si="97">$P$111*101325/760/8.314/O113/1000000</f>
        <v>3.3515004811161895E-4</v>
      </c>
      <c r="L113" s="9">
        <f t="shared" ref="L113:L124" si="98">B$4*O113^B$5*EXP(-B$6/1.987/O113)</f>
        <v>185277979569305.25</v>
      </c>
      <c r="M113" s="6">
        <f t="shared" si="92"/>
        <v>5853151046448811</v>
      </c>
      <c r="N113" s="2">
        <f t="shared" si="93"/>
        <v>25</v>
      </c>
      <c r="O113" s="12">
        <v>400</v>
      </c>
      <c r="P113" s="13"/>
      <c r="Q113" s="6">
        <f t="shared" si="94"/>
        <v>1784006135621.3005</v>
      </c>
      <c r="R113" s="27"/>
      <c r="S113" s="27"/>
    </row>
    <row r="114" spans="4:19" ht="15.75">
      <c r="D114" s="2">
        <f t="shared" si="87"/>
        <v>0.92730088373623432</v>
      </c>
      <c r="E114" s="2">
        <f t="shared" si="88"/>
        <v>-3.277932632553348E-2</v>
      </c>
      <c r="F114" s="2">
        <f t="shared" si="89"/>
        <v>-2.503994506442472</v>
      </c>
      <c r="G114" s="6">
        <f t="shared" si="90"/>
        <v>6.1975662847252155E-3</v>
      </c>
      <c r="H114" s="2">
        <f t="shared" si="95"/>
        <v>-0.29621568680955207</v>
      </c>
      <c r="I114" s="2">
        <f t="shared" si="91"/>
        <v>0.94672548918189381</v>
      </c>
      <c r="J114" s="4">
        <f t="shared" si="96"/>
        <v>0.7</v>
      </c>
      <c r="K114" s="6">
        <f t="shared" si="97"/>
        <v>2.6812003848929514E-4</v>
      </c>
      <c r="L114" s="9">
        <f t="shared" si="98"/>
        <v>193733983661863.44</v>
      </c>
      <c r="M114" s="6">
        <f t="shared" si="92"/>
        <v>4478140507935994.5</v>
      </c>
      <c r="N114" s="2">
        <f t="shared" si="93"/>
        <v>20</v>
      </c>
      <c r="O114" s="12">
        <v>500</v>
      </c>
      <c r="P114" s="13"/>
      <c r="Q114" s="6">
        <f t="shared" si="94"/>
        <v>1106533076117.6904</v>
      </c>
      <c r="R114" s="27"/>
      <c r="S114" s="27"/>
    </row>
    <row r="115" spans="4:19" ht="15.75">
      <c r="D115" s="2">
        <f t="shared" si="87"/>
        <v>0.93297297797453482</v>
      </c>
      <c r="E115" s="2">
        <f t="shared" si="88"/>
        <v>-3.0130934695619779E-2</v>
      </c>
      <c r="F115" s="2">
        <f t="shared" si="89"/>
        <v>-2.6940294969567717</v>
      </c>
      <c r="G115" s="6">
        <f t="shared" si="90"/>
        <v>4.0011625002611493E-3</v>
      </c>
      <c r="H115" s="2">
        <f t="shared" si="95"/>
        <v>-0.29621568680955207</v>
      </c>
      <c r="I115" s="2">
        <f t="shared" si="91"/>
        <v>0.94672548918189381</v>
      </c>
      <c r="J115" s="4">
        <f t="shared" si="96"/>
        <v>0.7</v>
      </c>
      <c r="K115" s="6">
        <f t="shared" si="97"/>
        <v>2.2343336540774599E-4</v>
      </c>
      <c r="L115" s="9">
        <f t="shared" si="98"/>
        <v>200928738667455.53</v>
      </c>
      <c r="M115" s="6">
        <f t="shared" si="92"/>
        <v>3598157924685335</v>
      </c>
      <c r="N115" s="2">
        <f t="shared" si="93"/>
        <v>16.666666666666668</v>
      </c>
      <c r="O115" s="12">
        <v>600</v>
      </c>
      <c r="P115" s="13"/>
      <c r="Q115" s="6">
        <f t="shared" si="94"/>
        <v>747073097397.43945</v>
      </c>
      <c r="R115" s="27"/>
      <c r="S115" s="27"/>
    </row>
    <row r="116" spans="4:19" ht="15.75">
      <c r="D116" s="2">
        <f t="shared" si="87"/>
        <v>0.93715893866185007</v>
      </c>
      <c r="E116" s="2">
        <f t="shared" si="88"/>
        <v>-2.8186748140845121E-2</v>
      </c>
      <c r="F116" s="2">
        <f t="shared" si="89"/>
        <v>-2.8547017920702435</v>
      </c>
      <c r="G116" s="6">
        <f t="shared" si="90"/>
        <v>2.7638463437571707E-3</v>
      </c>
      <c r="H116" s="2">
        <f t="shared" si="95"/>
        <v>-0.29621568680955207</v>
      </c>
      <c r="I116" s="2">
        <f t="shared" si="91"/>
        <v>0.94672548918189381</v>
      </c>
      <c r="J116" s="4">
        <f t="shared" si="96"/>
        <v>0.7</v>
      </c>
      <c r="K116" s="6">
        <f t="shared" si="97"/>
        <v>1.9151431320663941E-4</v>
      </c>
      <c r="L116" s="9">
        <f t="shared" si="98"/>
        <v>207219879055280.06</v>
      </c>
      <c r="M116" s="6">
        <f t="shared" si="92"/>
        <v>2990501835039261</v>
      </c>
      <c r="N116" s="2">
        <f t="shared" si="93"/>
        <v>14.285714285714286</v>
      </c>
      <c r="O116" s="12">
        <v>700</v>
      </c>
      <c r="P116" s="13"/>
      <c r="Q116" s="6">
        <f t="shared" si="94"/>
        <v>535253967311.20099</v>
      </c>
      <c r="R116" s="27"/>
      <c r="S116" s="27"/>
    </row>
    <row r="117" spans="4:19" ht="15.75">
      <c r="D117" s="2">
        <f t="shared" si="87"/>
        <v>0.94040219074156128</v>
      </c>
      <c r="E117" s="2">
        <f t="shared" si="88"/>
        <v>-2.6686367822445847E-2</v>
      </c>
      <c r="F117" s="2">
        <f t="shared" si="89"/>
        <v>-2.9938824648166911</v>
      </c>
      <c r="G117" s="6">
        <f t="shared" si="90"/>
        <v>2.0060105927869492E-3</v>
      </c>
      <c r="H117" s="2">
        <f t="shared" si="95"/>
        <v>-0.29621568680955207</v>
      </c>
      <c r="I117" s="2">
        <f t="shared" si="91"/>
        <v>0.94672548918189381</v>
      </c>
      <c r="J117" s="4">
        <f t="shared" si="96"/>
        <v>0.7</v>
      </c>
      <c r="K117" s="6">
        <f t="shared" si="97"/>
        <v>1.6757502405580948E-4</v>
      </c>
      <c r="L117" s="9">
        <f t="shared" si="98"/>
        <v>212828510348435.22</v>
      </c>
      <c r="M117" s="6">
        <f t="shared" si="92"/>
        <v>2547731970271657.5</v>
      </c>
      <c r="N117" s="2">
        <f t="shared" si="93"/>
        <v>12.5</v>
      </c>
      <c r="O117" s="12">
        <v>800</v>
      </c>
      <c r="P117" s="13"/>
      <c r="Q117" s="6">
        <f t="shared" si="94"/>
        <v>400687996872.99738</v>
      </c>
      <c r="R117" s="27"/>
      <c r="S117" s="27"/>
    </row>
    <row r="118" spans="4:19" ht="15.75">
      <c r="D118" s="2">
        <f t="shared" si="87"/>
        <v>0.94300605186845043</v>
      </c>
      <c r="E118" s="2">
        <f t="shared" si="88"/>
        <v>-2.5485520110349793E-2</v>
      </c>
      <c r="F118" s="2">
        <f t="shared" si="89"/>
        <v>-3.1166485186904067</v>
      </c>
      <c r="G118" s="6">
        <f t="shared" si="90"/>
        <v>1.5120535359461377E-3</v>
      </c>
      <c r="H118" s="2">
        <f t="shared" si="95"/>
        <v>-0.29621568680955207</v>
      </c>
      <c r="I118" s="2">
        <f t="shared" si="91"/>
        <v>0.94672548918189381</v>
      </c>
      <c r="J118" s="4">
        <f t="shared" si="96"/>
        <v>0.7</v>
      </c>
      <c r="K118" s="6">
        <f t="shared" si="97"/>
        <v>1.4895557693849734E-4</v>
      </c>
      <c r="L118" s="9">
        <f t="shared" si="98"/>
        <v>217901545107214.97</v>
      </c>
      <c r="M118" s="6">
        <f t="shared" si="92"/>
        <v>2211926592742013.2</v>
      </c>
      <c r="N118" s="2">
        <f t="shared" si="93"/>
        <v>11.111111111111111</v>
      </c>
      <c r="O118" s="12">
        <v>900</v>
      </c>
      <c r="P118" s="13"/>
      <c r="Q118" s="6">
        <f t="shared" si="94"/>
        <v>310231417517.29114</v>
      </c>
    </row>
    <row r="119" spans="4:19" ht="15.75">
      <c r="D119" s="26">
        <f t="shared" si="87"/>
        <v>0.94653836669939984</v>
      </c>
      <c r="E119" s="26">
        <f t="shared" si="88"/>
        <v>-2.3861777782447136E-2</v>
      </c>
      <c r="F119" s="26">
        <f t="shared" si="89"/>
        <v>-3.3018468102399248</v>
      </c>
      <c r="G119" s="27">
        <f t="shared" si="90"/>
        <v>9.8711755739854228E-4</v>
      </c>
      <c r="H119" s="26">
        <f t="shared" si="95"/>
        <v>-0.29621568680955207</v>
      </c>
      <c r="I119" s="26">
        <f t="shared" si="91"/>
        <v>0.94672548918189381</v>
      </c>
      <c r="J119" s="31">
        <f t="shared" si="96"/>
        <v>0.7</v>
      </c>
      <c r="K119" s="27">
        <f>$P$111*101325/760/8.314/O119/1000000</f>
        <v>1.2470699464618381E-4</v>
      </c>
      <c r="L119" s="28">
        <f t="shared" si="98"/>
        <v>225784175713277.97</v>
      </c>
      <c r="M119" s="27">
        <f t="shared" si="92"/>
        <v>1787193450228451</v>
      </c>
      <c r="N119" s="26">
        <f t="shared" si="93"/>
        <v>9.3023255813953494</v>
      </c>
      <c r="O119" s="29">
        <v>1075</v>
      </c>
      <c r="P119" s="30"/>
      <c r="Q119" s="27">
        <f t="shared" si="94"/>
        <v>210752197297.78586</v>
      </c>
      <c r="R119" s="6"/>
      <c r="S119" s="6"/>
    </row>
    <row r="120" spans="4:19" ht="15.75">
      <c r="D120" s="26">
        <f t="shared" si="87"/>
        <v>0.94786080453112831</v>
      </c>
      <c r="E120" s="26">
        <f t="shared" si="88"/>
        <v>-2.3255435090796719E-2</v>
      </c>
      <c r="F120" s="26">
        <f t="shared" si="89"/>
        <v>-3.3775652978388515</v>
      </c>
      <c r="G120" s="27">
        <f t="shared" si="90"/>
        <v>8.2918299887406932E-4</v>
      </c>
      <c r="H120" s="26">
        <f t="shared" si="95"/>
        <v>-0.29621568680955207</v>
      </c>
      <c r="I120" s="26">
        <f t="shared" si="91"/>
        <v>0.94672548918189381</v>
      </c>
      <c r="J120" s="31">
        <f t="shared" si="96"/>
        <v>0.7</v>
      </c>
      <c r="K120" s="27">
        <f t="shared" si="97"/>
        <v>1.1596887477910691E-4</v>
      </c>
      <c r="L120" s="28">
        <f t="shared" si="98"/>
        <v>229088545411926.41</v>
      </c>
      <c r="M120" s="27">
        <f t="shared" si="92"/>
        <v>1637994051888328.7</v>
      </c>
      <c r="N120" s="26">
        <f t="shared" si="93"/>
        <v>8.6505190311418687</v>
      </c>
      <c r="O120" s="29">
        <v>1156</v>
      </c>
      <c r="P120" s="30"/>
      <c r="Q120" s="27">
        <f t="shared" si="94"/>
        <v>179902984527.32532</v>
      </c>
      <c r="R120" s="6"/>
      <c r="S120" s="6"/>
    </row>
    <row r="121" spans="4:19" ht="15.75">
      <c r="D121" s="2">
        <f t="shared" si="87"/>
        <v>0.9485157222131394</v>
      </c>
      <c r="E121" s="2">
        <f t="shared" si="88"/>
        <v>-2.2955466025904068E-2</v>
      </c>
      <c r="F121" s="2">
        <f t="shared" si="89"/>
        <v>-3.4165014865503269</v>
      </c>
      <c r="G121" s="6">
        <f t="shared" si="90"/>
        <v>7.5807853586824792E-4</v>
      </c>
      <c r="H121" s="2">
        <f t="shared" si="95"/>
        <v>-0.29621568680955207</v>
      </c>
      <c r="I121" s="2">
        <f t="shared" si="91"/>
        <v>0.94672548918189381</v>
      </c>
      <c r="J121" s="4">
        <f t="shared" si="96"/>
        <v>0.7</v>
      </c>
      <c r="K121" s="6">
        <f t="shared" si="97"/>
        <v>1.1171668270387299E-4</v>
      </c>
      <c r="L121" s="9">
        <f t="shared" si="98"/>
        <v>230806511578935.31</v>
      </c>
      <c r="M121" s="6">
        <f t="shared" si="92"/>
        <v>1566189204081614.2</v>
      </c>
      <c r="N121" s="2">
        <f t="shared" si="93"/>
        <v>8.3333333333333339</v>
      </c>
      <c r="O121" s="12">
        <v>1200</v>
      </c>
      <c r="P121" s="13"/>
      <c r="Q121" s="6">
        <f t="shared" si="94"/>
        <v>165835569576.13736</v>
      </c>
      <c r="R121" s="27"/>
      <c r="S121" s="27"/>
    </row>
    <row r="122" spans="4:19" ht="15.75">
      <c r="D122" s="2">
        <f t="shared" si="87"/>
        <v>0.94986486120780766</v>
      </c>
      <c r="E122" s="2">
        <f t="shared" si="88"/>
        <v>-2.233817808642017E-2</v>
      </c>
      <c r="F122" s="2">
        <f t="shared" si="89"/>
        <v>-3.4999305415724349</v>
      </c>
      <c r="G122" s="6">
        <f t="shared" si="90"/>
        <v>6.2558329792448779E-4</v>
      </c>
      <c r="H122" s="2">
        <f t="shared" si="95"/>
        <v>-0.29621568680955207</v>
      </c>
      <c r="I122" s="2">
        <f t="shared" si="91"/>
        <v>0.94672548918189381</v>
      </c>
      <c r="J122" s="4">
        <f t="shared" si="96"/>
        <v>0.7</v>
      </c>
      <c r="K122" s="6">
        <f t="shared" si="97"/>
        <v>1.03123091726652E-4</v>
      </c>
      <c r="L122" s="9">
        <f t="shared" si="98"/>
        <v>234531120441019.87</v>
      </c>
      <c r="M122" s="6">
        <f t="shared" si="92"/>
        <v>1422753617398568</v>
      </c>
      <c r="N122" s="2">
        <f t="shared" si="93"/>
        <v>7.6923076923076925</v>
      </c>
      <c r="O122" s="12">
        <v>1300</v>
      </c>
      <c r="P122" s="13"/>
      <c r="Q122" s="6">
        <f t="shared" si="94"/>
        <v>139275858156.27179</v>
      </c>
      <c r="R122" s="27"/>
      <c r="S122" s="27"/>
    </row>
    <row r="123" spans="4:19" ht="15.75">
      <c r="D123" s="2">
        <f>10^E123</f>
        <v>0.95210665053651089</v>
      </c>
      <c r="E123" s="2">
        <f>LOG(J123)/(1+(F123/(I123-0.14*F123))^2)</f>
        <v>-2.1314401252864452E-2</v>
      </c>
      <c r="F123" s="2">
        <f>LOG(G123)+H123</f>
        <v>-3.6490855177696622</v>
      </c>
      <c r="G123" s="6">
        <f>M123*K123/L123</f>
        <v>4.4374162458908281E-4</v>
      </c>
      <c r="H123" s="2">
        <f>-0.4-0.67*LOG(J123)</f>
        <v>-0.29621568680955207</v>
      </c>
      <c r="I123" s="2">
        <f>0.75-1.27*LOG(J123)</f>
        <v>0.94672548918189381</v>
      </c>
      <c r="J123" s="4">
        <f t="shared" si="96"/>
        <v>0.7</v>
      </c>
      <c r="K123" s="6">
        <f>$P$111*101325/760/8.314/O123/1000000</f>
        <v>8.9373346163098389E-5</v>
      </c>
      <c r="L123" s="9">
        <f t="shared" si="98"/>
        <v>241340417502550.47</v>
      </c>
      <c r="M123" s="6">
        <f>$B$7*O123^$B$8*EXP(-$B$9/1.987/O123)</f>
        <v>1198263168374097.5</v>
      </c>
      <c r="N123" s="2">
        <f>10000/O123</f>
        <v>6.666666666666667</v>
      </c>
      <c r="O123" s="12">
        <v>1500</v>
      </c>
      <c r="P123" s="13"/>
      <c r="Q123" s="6">
        <f>L123/(1+L123/M123/K123)*D123</f>
        <v>101918531081.23233</v>
      </c>
      <c r="R123" s="27"/>
      <c r="S123" s="27"/>
    </row>
    <row r="124" spans="4:19" ht="15.75">
      <c r="D124" s="2">
        <f>10^E124</f>
        <v>0.95468206858279914</v>
      </c>
      <c r="E124" s="2">
        <f>LOG(J124)/(1+(F124/(I124-0.14*F124))^2)</f>
        <v>-2.0141234540656489E-2</v>
      </c>
      <c r="F124" s="2">
        <f>LOG(G124)+H124</f>
        <v>-3.8391205082839619</v>
      </c>
      <c r="G124" s="6">
        <f>M124*K124/L124</f>
        <v>2.8648057423552332E-4</v>
      </c>
      <c r="H124" s="2">
        <f>-0.4-0.67*LOG(J124)</f>
        <v>-0.29621568680955207</v>
      </c>
      <c r="I124" s="2">
        <f>0.75-1.27*LOG(J124)</f>
        <v>0.94672548918189381</v>
      </c>
      <c r="J124" s="4">
        <f t="shared" si="96"/>
        <v>0.7</v>
      </c>
      <c r="K124" s="6">
        <f>$P$111*101325/760/8.314/O124/1000000</f>
        <v>7.4477788469248671E-5</v>
      </c>
      <c r="L124" s="9">
        <f t="shared" si="98"/>
        <v>250303146415970.06</v>
      </c>
      <c r="M124" s="6">
        <f>$B$7*O124^$B$8*EXP(-$B$9/1.987/O124)</f>
        <v>962796970640618</v>
      </c>
      <c r="N124" s="2">
        <f>10000/O124</f>
        <v>5.5555555555555554</v>
      </c>
      <c r="O124" s="12">
        <v>1800</v>
      </c>
      <c r="P124" s="13"/>
      <c r="Q124" s="6">
        <f>L124/(1+L124/M124/K124)*D124</f>
        <v>68437770611.38842</v>
      </c>
      <c r="R124" s="27"/>
      <c r="S124" s="27"/>
    </row>
    <row r="125" spans="4:19">
      <c r="D125" s="2" t="s">
        <v>4</v>
      </c>
      <c r="E125" s="2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s="2" t="s">
        <v>14</v>
      </c>
      <c r="P125">
        <f>760*30</f>
        <v>22800</v>
      </c>
      <c r="Q125" s="6" t="s">
        <v>16</v>
      </c>
      <c r="R125" s="27"/>
      <c r="S125" s="27"/>
    </row>
    <row r="126" spans="4:19" ht="15.75">
      <c r="D126" s="2">
        <f t="shared" ref="D126:D136" si="99">10^E126</f>
        <v>0.87826352261566287</v>
      </c>
      <c r="E126" s="2">
        <f t="shared" ref="E126:E136" si="100">LOG(J126)/(1+(F126/(I126-0.14*F126))^2)</f>
        <v>-5.6375154656174375E-2</v>
      </c>
      <c r="F126" s="2">
        <f t="shared" ref="F126:F136" si="101">LOG(G126)+H126</f>
        <v>-1.5358289378017793</v>
      </c>
      <c r="G126" s="6">
        <f t="shared" ref="G126:G136" si="102">M126*K126/L126</f>
        <v>5.7595260778717544E-2</v>
      </c>
      <c r="H126" s="2">
        <f>-0.4-0.67*LOG(J126)</f>
        <v>-0.29621568680955207</v>
      </c>
      <c r="I126" s="2">
        <f t="shared" ref="I126:I136" si="103">0.75-1.27*LOG(J126)</f>
        <v>0.94672548918189381</v>
      </c>
      <c r="J126" s="4">
        <f>(1-$B$10)*EXP(-O126/$B$11)+$B$10*EXP(-O126/$B$12)+EXP(-B$13/O126)</f>
        <v>0.7</v>
      </c>
      <c r="K126" s="6">
        <f>$P$125*101325/760/8.314/O126/1000000</f>
        <v>1.2187274476786144E-3</v>
      </c>
      <c r="L126" s="9">
        <f>B$4*O126^B$5*EXP(-B$6/1.987/O126)</f>
        <v>174918626629333.09</v>
      </c>
      <c r="M126" s="6">
        <f t="shared" ref="M126:M136" si="104">$B$7*O126^$B$8*EXP(-$B$9/1.987/O126)</f>
        <v>8266396178211182</v>
      </c>
      <c r="N126" s="2">
        <f t="shared" ref="N126:N136" si="105">10000/O126</f>
        <v>33.333333333333336</v>
      </c>
      <c r="O126" s="12">
        <v>300</v>
      </c>
      <c r="P126" s="13"/>
      <c r="Q126" s="6">
        <f t="shared" ref="Q126:Q136" si="106">L126/(1+L126/M126/K126)*D126</f>
        <v>8366198356340.4658</v>
      </c>
      <c r="R126" s="27"/>
      <c r="S126" s="27"/>
    </row>
    <row r="127" spans="4:19" ht="15.75">
      <c r="D127" s="26">
        <f t="shared" si="99"/>
        <v>0.94128452542262575</v>
      </c>
      <c r="E127" s="26">
        <f t="shared" si="100"/>
        <v>-2.6279080989870484E-2</v>
      </c>
      <c r="F127" s="26">
        <f t="shared" si="101"/>
        <v>-3.0343002615739501</v>
      </c>
      <c r="G127" s="27">
        <f t="shared" si="102"/>
        <v>1.8277442454869726E-3</v>
      </c>
      <c r="H127" s="26">
        <f t="shared" ref="H127:H136" si="107">-0.4-0.67*LOG(J127)</f>
        <v>-0.29621568680955207</v>
      </c>
      <c r="I127" s="26">
        <f t="shared" si="103"/>
        <v>0.94672548918189381</v>
      </c>
      <c r="J127" s="31">
        <f t="shared" ref="J127:J138" si="108">(1-$B$10)*EXP(-O127/$B$11)+$B$10*EXP(-O127/$B$12)+EXP(-B$13/O127)</f>
        <v>0.7</v>
      </c>
      <c r="K127" s="27">
        <f>23.4*101325/8.314/O127/1000000</f>
        <v>2.5037947564248971E-4</v>
      </c>
      <c r="L127" s="28">
        <f t="shared" ref="L127:L138" si="109">B$4*O127^B$5*EXP(-B$6/1.987/O127)</f>
        <v>228410756766969.53</v>
      </c>
      <c r="M127" s="27">
        <f t="shared" si="104"/>
        <v>1667374872548486.5</v>
      </c>
      <c r="N127" s="26">
        <f t="shared" si="105"/>
        <v>8.7796312554872689</v>
      </c>
      <c r="O127" s="29">
        <v>1139</v>
      </c>
      <c r="P127" s="30"/>
      <c r="Q127" s="27">
        <f t="shared" si="106"/>
        <v>392247191073.17609</v>
      </c>
      <c r="R127" s="27"/>
      <c r="S127" s="27"/>
    </row>
    <row r="128" spans="4:19" ht="15.75">
      <c r="D128" s="26">
        <f t="shared" si="99"/>
        <v>0.94149889741143922</v>
      </c>
      <c r="E128" s="26">
        <f t="shared" si="100"/>
        <v>-2.6180184248918249E-2</v>
      </c>
      <c r="F128" s="26">
        <f t="shared" si="101"/>
        <v>-3.0442981175668535</v>
      </c>
      <c r="G128" s="27">
        <f t="shared" si="102"/>
        <v>1.7861485248403094E-3</v>
      </c>
      <c r="H128" s="26">
        <f t="shared" si="107"/>
        <v>-0.29621568680955207</v>
      </c>
      <c r="I128" s="26">
        <f t="shared" si="103"/>
        <v>0.94672548918189381</v>
      </c>
      <c r="J128" s="31">
        <f t="shared" si="108"/>
        <v>0.7</v>
      </c>
      <c r="K128" s="27">
        <f>25.3*101325/8.314/O128/1000000</f>
        <v>2.5954380830192712E-4</v>
      </c>
      <c r="L128" s="28">
        <f t="shared" si="109"/>
        <v>230343040946827.16</v>
      </c>
      <c r="M128" s="27">
        <f t="shared" si="104"/>
        <v>1585192440097795.5</v>
      </c>
      <c r="N128" s="26">
        <f t="shared" si="105"/>
        <v>8.4175084175084169</v>
      </c>
      <c r="O128" s="29">
        <v>1188</v>
      </c>
      <c r="P128" s="30"/>
      <c r="Q128" s="27">
        <f t="shared" si="106"/>
        <v>386667311268.73236</v>
      </c>
      <c r="R128" s="27"/>
      <c r="S128" s="27"/>
    </row>
    <row r="129" spans="4:19" ht="15.75">
      <c r="D129" s="26">
        <f t="shared" si="99"/>
        <v>0.93973611118375466</v>
      </c>
      <c r="E129" s="26">
        <f t="shared" si="100"/>
        <v>-2.6994084215723833E-2</v>
      </c>
      <c r="F129" s="26">
        <f t="shared" si="101"/>
        <v>-2.9641271646611109</v>
      </c>
      <c r="G129" s="27">
        <f t="shared" si="102"/>
        <v>2.1482683105628008E-3</v>
      </c>
      <c r="H129" s="26">
        <f t="shared" si="107"/>
        <v>-0.29621568680955207</v>
      </c>
      <c r="I129" s="26">
        <f t="shared" si="103"/>
        <v>0.94672548918189381</v>
      </c>
      <c r="J129" s="31">
        <f t="shared" si="108"/>
        <v>0.7</v>
      </c>
      <c r="K129" s="27">
        <f>24.1*101325/8.314/O129/1000000</f>
        <v>2.7246133106729689E-4</v>
      </c>
      <c r="L129" s="28">
        <f t="shared" si="109"/>
        <v>225910054350724.5</v>
      </c>
      <c r="M129" s="27">
        <f t="shared" si="104"/>
        <v>1781226748390620</v>
      </c>
      <c r="N129" s="26">
        <f t="shared" si="105"/>
        <v>9.2764378478664185</v>
      </c>
      <c r="O129" s="29">
        <v>1078</v>
      </c>
      <c r="P129" s="30"/>
      <c r="Q129" s="27">
        <f t="shared" si="106"/>
        <v>455090759784.29462</v>
      </c>
      <c r="R129" s="27"/>
      <c r="S129" s="27"/>
    </row>
    <row r="130" spans="4:19" ht="15.75">
      <c r="D130" s="26">
        <f t="shared" si="99"/>
        <v>0.94092145590114906</v>
      </c>
      <c r="E130" s="26">
        <f t="shared" si="100"/>
        <v>-2.6446628105589884E-2</v>
      </c>
      <c r="F130" s="26">
        <f t="shared" si="101"/>
        <v>-3.0175276408332485</v>
      </c>
      <c r="G130" s="27">
        <f t="shared" si="102"/>
        <v>1.8997132244120793E-3</v>
      </c>
      <c r="H130" s="26">
        <f t="shared" si="107"/>
        <v>-0.29621568680955207</v>
      </c>
      <c r="I130" s="26">
        <f t="shared" si="103"/>
        <v>0.94672548918189381</v>
      </c>
      <c r="J130" s="31">
        <f t="shared" si="108"/>
        <v>0.7</v>
      </c>
      <c r="K130" s="27">
        <f>26.8*101325/8.314/O130/1000000</f>
        <v>2.7539540976211519E-4</v>
      </c>
      <c r="L130" s="28">
        <f t="shared" si="109"/>
        <v>230265432087914.5</v>
      </c>
      <c r="M130" s="27">
        <f t="shared" si="104"/>
        <v>1588400790122933.2</v>
      </c>
      <c r="N130" s="26">
        <f t="shared" si="105"/>
        <v>8.4317032040472171</v>
      </c>
      <c r="O130" s="29">
        <v>1186</v>
      </c>
      <c r="P130" s="30"/>
      <c r="Q130" s="27">
        <f t="shared" si="106"/>
        <v>410814639361.90186</v>
      </c>
      <c r="R130" s="27"/>
      <c r="S130" s="27"/>
    </row>
    <row r="131" spans="4:19" ht="15.75">
      <c r="D131" s="26">
        <f t="shared" si="99"/>
        <v>0.94097255693123982</v>
      </c>
      <c r="E131" s="26">
        <f t="shared" si="100"/>
        <v>-2.6423042403906222E-2</v>
      </c>
      <c r="F131" s="26">
        <f t="shared" si="101"/>
        <v>-3.0198762770539154</v>
      </c>
      <c r="G131" s="27">
        <f t="shared" si="102"/>
        <v>1.8894674285179823E-3</v>
      </c>
      <c r="H131" s="26">
        <f t="shared" si="107"/>
        <v>-0.29621568680955207</v>
      </c>
      <c r="I131" s="26">
        <f t="shared" si="103"/>
        <v>0.94672548918189381</v>
      </c>
      <c r="J131" s="31">
        <f t="shared" si="108"/>
        <v>0.7</v>
      </c>
      <c r="K131" s="27">
        <f>24.6*101325/8.314/O131/1000000</f>
        <v>2.6138356767998181E-4</v>
      </c>
      <c r="L131" s="28">
        <f t="shared" si="109"/>
        <v>228730717057702.16</v>
      </c>
      <c r="M131" s="27">
        <f t="shared" si="104"/>
        <v>1653429263431043.7</v>
      </c>
      <c r="N131" s="26">
        <f t="shared" si="105"/>
        <v>8.7183958151700089</v>
      </c>
      <c r="O131" s="29">
        <v>1147</v>
      </c>
      <c r="P131" s="30"/>
      <c r="Q131" s="27">
        <f t="shared" si="106"/>
        <v>405901865955.45569</v>
      </c>
      <c r="R131" s="27"/>
      <c r="S131" s="27"/>
    </row>
    <row r="132" spans="4:19" ht="15.75">
      <c r="D132" s="26">
        <f t="shared" si="99"/>
        <v>0.93780881828043561</v>
      </c>
      <c r="E132" s="26">
        <f t="shared" si="100"/>
        <v>-2.7885687877263921E-2</v>
      </c>
      <c r="F132" s="26">
        <f t="shared" si="101"/>
        <v>-2.8814785143132906</v>
      </c>
      <c r="G132" s="27">
        <f t="shared" si="102"/>
        <v>2.5985864676539502E-3</v>
      </c>
      <c r="H132" s="26">
        <f t="shared" si="107"/>
        <v>-0.29621568680955207</v>
      </c>
      <c r="I132" s="26">
        <f t="shared" si="103"/>
        <v>0.94672548918189381</v>
      </c>
      <c r="J132" s="31">
        <f t="shared" si="108"/>
        <v>0.7</v>
      </c>
      <c r="K132" s="27">
        <f>40.4*101325/8.314/O132/1000000</f>
        <v>3.9867683308676943E-4</v>
      </c>
      <c r="L132" s="28">
        <f t="shared" si="109"/>
        <v>232137444624603.66</v>
      </c>
      <c r="M132" s="27">
        <f t="shared" si="104"/>
        <v>1513078193098755.7</v>
      </c>
      <c r="N132" s="26">
        <f t="shared" si="105"/>
        <v>8.097165991902834</v>
      </c>
      <c r="O132" s="29">
        <v>1235</v>
      </c>
      <c r="P132" s="30"/>
      <c r="Q132" s="27">
        <f t="shared" si="106"/>
        <v>564247438300.97693</v>
      </c>
      <c r="R132" s="6"/>
      <c r="S132" s="6"/>
    </row>
    <row r="133" spans="4:19" ht="15.75">
      <c r="D133" s="26">
        <f t="shared" si="99"/>
        <v>0.93913181476416763</v>
      </c>
      <c r="E133" s="26">
        <f t="shared" si="100"/>
        <v>-2.7273446704045128E-2</v>
      </c>
      <c r="F133" s="26">
        <f t="shared" si="101"/>
        <v>-2.9376736549862357</v>
      </c>
      <c r="G133" s="27">
        <f t="shared" si="102"/>
        <v>2.2831898853270618E-3</v>
      </c>
      <c r="H133" s="26">
        <f t="shared" si="107"/>
        <v>-0.29621568680955207</v>
      </c>
      <c r="I133" s="26">
        <f t="shared" si="103"/>
        <v>0.94672548918189381</v>
      </c>
      <c r="J133" s="31">
        <f t="shared" si="108"/>
        <v>0.7</v>
      </c>
      <c r="K133" s="27">
        <f>34.2*101325/8.314/O133/1000000</f>
        <v>3.4276709465961034E-4</v>
      </c>
      <c r="L133" s="28">
        <f t="shared" si="109"/>
        <v>231418739046324.5</v>
      </c>
      <c r="M133" s="27">
        <f t="shared" si="104"/>
        <v>1541492554267553</v>
      </c>
      <c r="N133" s="26">
        <f t="shared" si="105"/>
        <v>8.223684210526315</v>
      </c>
      <c r="O133" s="29">
        <v>1216</v>
      </c>
      <c r="P133" s="30"/>
      <c r="Q133" s="27">
        <f t="shared" si="106"/>
        <v>495081458259.995</v>
      </c>
      <c r="R133" s="6"/>
    </row>
    <row r="134" spans="4:19" ht="15.75">
      <c r="D134" s="26">
        <f t="shared" si="99"/>
        <v>0.93806388977281585</v>
      </c>
      <c r="E134" s="26">
        <f t="shared" si="100"/>
        <v>-2.7767581630674117E-2</v>
      </c>
      <c r="F134" s="26">
        <f t="shared" si="101"/>
        <v>-2.8921343513973956</v>
      </c>
      <c r="G134" s="27">
        <f t="shared" si="102"/>
        <v>2.535603458178604E-3</v>
      </c>
      <c r="H134" s="26">
        <f t="shared" si="107"/>
        <v>-0.29621568680955207</v>
      </c>
      <c r="I134" s="26">
        <f t="shared" si="103"/>
        <v>0.94672548918189381</v>
      </c>
      <c r="J134" s="31">
        <f t="shared" si="108"/>
        <v>0.7</v>
      </c>
      <c r="K134" s="27">
        <f>26.4*101325/8.314/O134/1000000</f>
        <v>3.0788903941354469E-4</v>
      </c>
      <c r="L134" s="28">
        <f t="shared" si="109"/>
        <v>224509677473815.69</v>
      </c>
      <c r="M134" s="27">
        <f t="shared" si="104"/>
        <v>1848937252464359</v>
      </c>
      <c r="N134" s="26">
        <f t="shared" si="105"/>
        <v>9.5693779904306222</v>
      </c>
      <c r="O134" s="29">
        <v>1045</v>
      </c>
      <c r="P134" s="30"/>
      <c r="Q134" s="27">
        <f t="shared" si="106"/>
        <v>532658687853.37469</v>
      </c>
      <c r="R134" s="6"/>
      <c r="S134" s="6"/>
    </row>
    <row r="135" spans="4:19" ht="15.75">
      <c r="D135" s="26">
        <f t="shared" si="99"/>
        <v>0.93772011668209287</v>
      </c>
      <c r="E135" s="26">
        <f t="shared" si="100"/>
        <v>-2.7926767077916997E-2</v>
      </c>
      <c r="F135" s="26">
        <f t="shared" si="101"/>
        <v>-2.8777924284267464</v>
      </c>
      <c r="G135" s="27">
        <f t="shared" si="102"/>
        <v>2.6207359029285292E-3</v>
      </c>
      <c r="H135" s="26">
        <f t="shared" si="107"/>
        <v>-0.29621568680955207</v>
      </c>
      <c r="I135" s="26">
        <f t="shared" si="103"/>
        <v>0.94672548918189381</v>
      </c>
      <c r="J135" s="31">
        <f t="shared" si="108"/>
        <v>0.7</v>
      </c>
      <c r="K135" s="27">
        <f>33.2*101325/8.314/O135/1000000</f>
        <v>3.5680556669250442E-4</v>
      </c>
      <c r="L135" s="28">
        <f t="shared" si="109"/>
        <v>228209867487910.47</v>
      </c>
      <c r="M135" s="27">
        <f t="shared" si="104"/>
        <v>1676200847066810</v>
      </c>
      <c r="N135" s="26">
        <f t="shared" si="105"/>
        <v>8.8183421516754859</v>
      </c>
      <c r="O135" s="29">
        <v>1134</v>
      </c>
      <c r="P135" s="30"/>
      <c r="Q135" s="27">
        <f t="shared" si="106"/>
        <v>559363633599.71045</v>
      </c>
      <c r="R135" s="6"/>
      <c r="S135" s="6"/>
    </row>
    <row r="136" spans="4:19" ht="15.75">
      <c r="D136" s="26">
        <f t="shared" si="99"/>
        <v>0.93867888110775688</v>
      </c>
      <c r="E136" s="26">
        <f t="shared" si="100"/>
        <v>-2.7482953010399186E-2</v>
      </c>
      <c r="F136" s="26">
        <f t="shared" si="101"/>
        <v>-2.9181740321244529</v>
      </c>
      <c r="G136" s="27">
        <f t="shared" si="102"/>
        <v>2.3880403171314514E-3</v>
      </c>
      <c r="H136" s="26">
        <f t="shared" si="107"/>
        <v>-0.29621568680955207</v>
      </c>
      <c r="I136" s="26">
        <f t="shared" si="103"/>
        <v>0.94672548918189381</v>
      </c>
      <c r="J136" s="31">
        <f t="shared" si="108"/>
        <v>0.7</v>
      </c>
      <c r="K136" s="27">
        <f>35.7*101325/8.314/O136/1000000</f>
        <v>3.5809522536729661E-4</v>
      </c>
      <c r="L136" s="28">
        <f t="shared" si="109"/>
        <v>231380664227045.78</v>
      </c>
      <c r="M136" s="27">
        <f t="shared" si="104"/>
        <v>1543015141327550.7</v>
      </c>
      <c r="N136" s="26">
        <f t="shared" si="105"/>
        <v>8.2304526748971192</v>
      </c>
      <c r="O136" s="29">
        <v>1215</v>
      </c>
      <c r="P136" s="30"/>
      <c r="Q136" s="27">
        <f t="shared" si="106"/>
        <v>517427955245.63397</v>
      </c>
      <c r="R136" s="6"/>
    </row>
    <row r="137" spans="4:19" ht="15.75">
      <c r="D137" s="26">
        <f>10^E137</f>
        <v>0.93745345748535835</v>
      </c>
      <c r="E137" s="26">
        <f>LOG(J137)/(1+(F137/(I137-0.14*F137))^2)</f>
        <v>-2.8050284836557152E-2</v>
      </c>
      <c r="F137" s="26">
        <f>LOG(G137)+H137</f>
        <v>-2.8667711102559972</v>
      </c>
      <c r="G137" s="27">
        <f>M137*K137/L137</f>
        <v>2.6880947740416231E-3</v>
      </c>
      <c r="H137" s="26">
        <f>-0.4-0.67*LOG(J137)</f>
        <v>-0.29621568680955207</v>
      </c>
      <c r="I137" s="26">
        <f>0.75-1.27*LOG(J137)</f>
        <v>0.94672548918189381</v>
      </c>
      <c r="J137" s="31">
        <f t="shared" si="108"/>
        <v>0.7</v>
      </c>
      <c r="K137" s="27">
        <f>32.7*101325/8.314/O137/1000000</f>
        <v>3.5742051604565641E-4</v>
      </c>
      <c r="L137" s="28">
        <f t="shared" si="109"/>
        <v>227439965792379.06</v>
      </c>
      <c r="M137" s="27">
        <f>$B$7*O137^$B$8*EXP(-$B$9/1.987/O137)</f>
        <v>1710534667172275.2</v>
      </c>
      <c r="N137" s="26">
        <f>10000/O137</f>
        <v>8.9686098654708513</v>
      </c>
      <c r="O137" s="29">
        <v>1115</v>
      </c>
      <c r="P137" s="30"/>
      <c r="Q137" s="27">
        <f>L137/(1+L137/M137/K137)*D137</f>
        <v>571603941250.34424</v>
      </c>
      <c r="R137" s="6"/>
    </row>
    <row r="138" spans="4:19" ht="15.75">
      <c r="D138" s="26">
        <f>10^E138</f>
        <v>0.93887518809917958</v>
      </c>
      <c r="E138" s="26">
        <f>LOG(J138)/(1+(F138/(I138-0.14*F138))^2)</f>
        <v>-2.7392138002892596E-2</v>
      </c>
      <c r="F138" s="26">
        <f>LOG(G138)+H138</f>
        <v>-2.926591429157031</v>
      </c>
      <c r="G138" s="27">
        <f>M138*K138/L138</f>
        <v>2.3422015155298674E-3</v>
      </c>
      <c r="H138" s="26">
        <f>-0.4-0.67*LOG(J138)</f>
        <v>-0.29621568680955207</v>
      </c>
      <c r="I138" s="26">
        <f>0.75-1.27*LOG(J138)</f>
        <v>0.94672548918189381</v>
      </c>
      <c r="J138" s="31">
        <f t="shared" si="108"/>
        <v>0.7</v>
      </c>
      <c r="K138" s="27">
        <f>38.5*101325/8.314/O138/1000000</f>
        <v>3.7121049632616026E-4</v>
      </c>
      <c r="L138" s="28">
        <f t="shared" si="109"/>
        <v>233217546774108</v>
      </c>
      <c r="M138" s="27">
        <f>$B$7*O138^$B$8*EXP(-$B$9/1.987/O138)</f>
        <v>1471516826459894</v>
      </c>
      <c r="N138" s="26">
        <f>10000/O138</f>
        <v>7.9113924050632916</v>
      </c>
      <c r="O138" s="29">
        <v>1264</v>
      </c>
      <c r="P138" s="30"/>
      <c r="Q138" s="27">
        <f>L138/(1+L138/M138/K138)*D138</f>
        <v>511655122553.67542</v>
      </c>
      <c r="R138" s="6"/>
    </row>
    <row r="139" spans="4:19">
      <c r="D139" s="2" t="s">
        <v>4</v>
      </c>
      <c r="E139" s="2" t="s">
        <v>5</v>
      </c>
      <c r="F139" t="s">
        <v>6</v>
      </c>
      <c r="G139" t="s">
        <v>7</v>
      </c>
      <c r="H139" t="s">
        <v>8</v>
      </c>
      <c r="I139" t="s">
        <v>9</v>
      </c>
      <c r="J139" t="s">
        <v>10</v>
      </c>
      <c r="K139" t="s">
        <v>11</v>
      </c>
      <c r="L139" t="s">
        <v>12</v>
      </c>
      <c r="M139" t="s">
        <v>13</v>
      </c>
      <c r="N139" t="s">
        <v>14</v>
      </c>
      <c r="P139">
        <f>760*40</f>
        <v>30400</v>
      </c>
      <c r="Q139" t="s">
        <v>16</v>
      </c>
      <c r="R139" s="6"/>
      <c r="S139" s="6"/>
    </row>
    <row r="140" spans="4:19" ht="15.75">
      <c r="D140" s="2">
        <f t="shared" ref="D140:D152" si="110">10^E140</f>
        <v>0.86803969039361073</v>
      </c>
      <c r="E140" s="2">
        <f t="shared" ref="E140:E150" si="111">LOG(J140)/(1+(F140/(I140-0.14*F140))^2)</f>
        <v>-6.1460416615164042E-2</v>
      </c>
      <c r="F140" s="2">
        <f t="shared" ref="F140:F150" si="112">LOG(G140)+H140</f>
        <v>-1.4108902011934792</v>
      </c>
      <c r="G140" s="6">
        <f t="shared" ref="G140:G150" si="113">M140*K140/L140</f>
        <v>7.6793681038290068E-2</v>
      </c>
      <c r="H140" s="2">
        <f>-0.4-0.67*LOG(J140)</f>
        <v>-0.29621568680955207</v>
      </c>
      <c r="I140" s="2">
        <f t="shared" ref="I140:I150" si="114">0.75-1.27*LOG(J140)</f>
        <v>0.94672548918189381</v>
      </c>
      <c r="J140" s="4">
        <f>(1-$B$10)*EXP(-O140/$B$11)+$B$10*EXP(-O140/$B$12)+EXP(-B$13/O140)</f>
        <v>0.7</v>
      </c>
      <c r="K140" s="6">
        <f>$P$139*101325/760/8.314/O140/1000000</f>
        <v>1.6249699302381525E-3</v>
      </c>
      <c r="L140" s="9">
        <f>B$4*O140^B$5*EXP(-B$6/1.987/O140)</f>
        <v>174918626629333.09</v>
      </c>
      <c r="M140" s="6">
        <f t="shared" ref="M140:M150" si="115">$B$7*O140^$B$8*EXP(-$B$9/1.987/O140)</f>
        <v>8266396178211182</v>
      </c>
      <c r="N140" s="2">
        <f t="shared" ref="N140:N150" si="116">10000/O140</f>
        <v>33.333333333333336</v>
      </c>
      <c r="O140" s="12">
        <v>300</v>
      </c>
      <c r="P140" s="13"/>
      <c r="Q140" s="6">
        <f t="shared" ref="Q140:Q150" si="117">L140/(1+L140/M140/K140)*D140</f>
        <v>10828508194425.773</v>
      </c>
      <c r="R140" s="6"/>
    </row>
    <row r="141" spans="4:19" ht="15.75">
      <c r="D141" s="2">
        <f t="shared" si="110"/>
        <v>0.89064517224542994</v>
      </c>
      <c r="E141" s="2">
        <f t="shared" si="111"/>
        <v>-5.0295281853103564E-2</v>
      </c>
      <c r="F141" s="2">
        <f t="shared" si="112"/>
        <v>-1.7107431690533992</v>
      </c>
      <c r="G141" s="6">
        <f t="shared" si="113"/>
        <v>3.8501045036750559E-2</v>
      </c>
      <c r="H141" s="2">
        <f t="shared" ref="H141:H150" si="118">-0.4-0.67*LOG(J141)</f>
        <v>-0.29621568680955207</v>
      </c>
      <c r="I141" s="2">
        <f t="shared" si="114"/>
        <v>0.94672548918189381</v>
      </c>
      <c r="J141" s="4">
        <f t="shared" ref="J141:J152" si="119">(1-$B$10)*EXP(-O141/$B$11)+$B$10*EXP(-O141/$B$12)+EXP(-B$13/O141)</f>
        <v>0.7</v>
      </c>
      <c r="K141" s="6">
        <f>$P$139*101325/760/8.314/O141/1000000</f>
        <v>1.2187274476786144E-3</v>
      </c>
      <c r="L141" s="9">
        <f t="shared" ref="L141:L152" si="120">B$4*O141^B$5*EXP(-B$6/1.987/O141)</f>
        <v>185277979569305.25</v>
      </c>
      <c r="M141" s="6">
        <f t="shared" si="115"/>
        <v>5853151046448811</v>
      </c>
      <c r="N141" s="2">
        <f t="shared" si="116"/>
        <v>25</v>
      </c>
      <c r="O141" s="12">
        <v>400</v>
      </c>
      <c r="P141" s="13"/>
      <c r="Q141" s="6">
        <f t="shared" si="117"/>
        <v>6117783504561.8584</v>
      </c>
      <c r="R141" s="6"/>
    </row>
    <row r="142" spans="4:19" ht="15.75">
      <c r="D142" s="26">
        <f t="shared" si="110"/>
        <v>0.93980452296016126</v>
      </c>
      <c r="E142" s="26">
        <f t="shared" si="111"/>
        <v>-2.6962469196113163E-2</v>
      </c>
      <c r="F142" s="26">
        <f t="shared" si="112"/>
        <v>-2.9671540760836215</v>
      </c>
      <c r="G142" s="27">
        <f t="shared" si="113"/>
        <v>2.1333475367654058E-3</v>
      </c>
      <c r="H142" s="26">
        <f t="shared" si="118"/>
        <v>-0.29621568680955207</v>
      </c>
      <c r="I142" s="26">
        <f t="shared" si="114"/>
        <v>0.94672548918189381</v>
      </c>
      <c r="J142" s="31">
        <f t="shared" si="119"/>
        <v>0.7</v>
      </c>
      <c r="K142" s="27">
        <f>38.7*101325/8.314/O142/1000000</f>
        <v>3.5812264407868166E-4</v>
      </c>
      <c r="L142" s="28">
        <f t="shared" si="120"/>
        <v>235141325974685.37</v>
      </c>
      <c r="M142" s="27">
        <f t="shared" si="115"/>
        <v>1400744065906185.8</v>
      </c>
      <c r="N142" s="26">
        <f t="shared" si="116"/>
        <v>7.5930144267274109</v>
      </c>
      <c r="O142" s="29">
        <v>1317</v>
      </c>
      <c r="P142" s="30"/>
      <c r="Q142" s="27">
        <f t="shared" si="117"/>
        <v>470438211502.28662</v>
      </c>
    </row>
    <row r="143" spans="4:19" ht="15.75">
      <c r="D143" s="26">
        <f t="shared" si="110"/>
        <v>0.93743580167867391</v>
      </c>
      <c r="E143" s="26">
        <f t="shared" si="111"/>
        <v>-2.8058464327030373E-2</v>
      </c>
      <c r="F143" s="26">
        <f t="shared" si="112"/>
        <v>-2.8660445335839584</v>
      </c>
      <c r="G143" s="27">
        <f t="shared" si="113"/>
        <v>2.692595733014076E-3</v>
      </c>
      <c r="H143" s="26">
        <f t="shared" si="118"/>
        <v>-0.29621568680955207</v>
      </c>
      <c r="I143" s="26">
        <f t="shared" si="114"/>
        <v>0.94672548918189381</v>
      </c>
      <c r="J143" s="31">
        <f t="shared" si="119"/>
        <v>0.7</v>
      </c>
      <c r="K143" s="27">
        <f>31.5*101325/8.314/O143/1000000</f>
        <v>3.4995364267890929E-4</v>
      </c>
      <c r="L143" s="28">
        <f t="shared" si="120"/>
        <v>226700842124647.22</v>
      </c>
      <c r="M143" s="27">
        <f t="shared" si="115"/>
        <v>1744270228201601.5</v>
      </c>
      <c r="N143" s="26">
        <f t="shared" si="116"/>
        <v>9.115770282588878</v>
      </c>
      <c r="O143" s="29">
        <v>1097</v>
      </c>
      <c r="P143" s="30"/>
      <c r="Q143" s="27">
        <f t="shared" si="117"/>
        <v>570687045624.46814</v>
      </c>
      <c r="R143" s="6"/>
    </row>
    <row r="144" spans="4:19" ht="15.75">
      <c r="D144" s="26">
        <f t="shared" si="110"/>
        <v>0.92855360098684603</v>
      </c>
      <c r="E144" s="26">
        <f t="shared" si="111"/>
        <v>-3.2193021443945438E-2</v>
      </c>
      <c r="F144" s="26">
        <f t="shared" si="112"/>
        <v>-2.5435677130880578</v>
      </c>
      <c r="G144" s="27">
        <f t="shared" si="113"/>
        <v>5.6578049816285664E-3</v>
      </c>
      <c r="H144" s="26">
        <f t="shared" si="118"/>
        <v>-0.29621568680955207</v>
      </c>
      <c r="I144" s="26">
        <f t="shared" si="114"/>
        <v>0.94672548918189381</v>
      </c>
      <c r="J144" s="31">
        <f t="shared" si="119"/>
        <v>0.7</v>
      </c>
      <c r="K144" s="27">
        <f>67.5*101325/8.314/O144/1000000</f>
        <v>7.437983970913786E-4</v>
      </c>
      <c r="L144" s="28">
        <f t="shared" si="120"/>
        <v>227071606886596.31</v>
      </c>
      <c r="M144" s="27">
        <f t="shared" si="115"/>
        <v>1727251461758063.2</v>
      </c>
      <c r="N144" s="26">
        <f t="shared" si="116"/>
        <v>9.0415913200723335</v>
      </c>
      <c r="O144" s="29">
        <v>1106</v>
      </c>
      <c r="P144" s="30"/>
      <c r="Q144" s="27">
        <f t="shared" si="117"/>
        <v>1186226322951.0417</v>
      </c>
      <c r="R144" s="6"/>
    </row>
    <row r="145" spans="4:19" ht="15.75">
      <c r="D145" s="26">
        <f t="shared" si="110"/>
        <v>0.9306762830525801</v>
      </c>
      <c r="E145" s="26">
        <f t="shared" si="111"/>
        <v>-3.1201353316789457E-2</v>
      </c>
      <c r="F145" s="26">
        <f t="shared" si="112"/>
        <v>-2.6136186438800109</v>
      </c>
      <c r="G145" s="27">
        <f t="shared" si="113"/>
        <v>4.8150083315042138E-3</v>
      </c>
      <c r="H145" s="26">
        <f t="shared" si="118"/>
        <v>-0.29621568680955207</v>
      </c>
      <c r="I145" s="26">
        <f t="shared" si="114"/>
        <v>0.94672548918189381</v>
      </c>
      <c r="J145" s="31">
        <f t="shared" si="119"/>
        <v>0.7</v>
      </c>
      <c r="K145" s="27">
        <f>73.7*101325/8.314/O145/1000000</f>
        <v>7.3203107493002352E-4</v>
      </c>
      <c r="L145" s="28">
        <f t="shared" si="120"/>
        <v>231835917456621.25</v>
      </c>
      <c r="M145" s="27">
        <f t="shared" si="115"/>
        <v>1524924162819540.5</v>
      </c>
      <c r="N145" s="26">
        <f t="shared" si="116"/>
        <v>8.1499592502037483</v>
      </c>
      <c r="O145" s="29">
        <v>1227</v>
      </c>
      <c r="P145" s="30"/>
      <c r="Q145" s="27">
        <f t="shared" si="117"/>
        <v>1033928000249.6715</v>
      </c>
      <c r="R145" s="6"/>
    </row>
    <row r="146" spans="4:19" ht="15.75">
      <c r="D146" s="26">
        <f t="shared" si="110"/>
        <v>0.92907636849660469</v>
      </c>
      <c r="E146" s="26">
        <f t="shared" si="111"/>
        <v>-3.194858627167816E-2</v>
      </c>
      <c r="F146" s="26">
        <f t="shared" si="112"/>
        <v>-2.560460873476583</v>
      </c>
      <c r="G146" s="27">
        <f t="shared" si="113"/>
        <v>5.4419533346041432E-3</v>
      </c>
      <c r="H146" s="26">
        <f t="shared" si="118"/>
        <v>-0.29621568680955207</v>
      </c>
      <c r="I146" s="26">
        <f t="shared" si="114"/>
        <v>0.94672548918189381</v>
      </c>
      <c r="J146" s="31">
        <f t="shared" si="119"/>
        <v>0.7</v>
      </c>
      <c r="K146" s="27">
        <f>66.2*101325/8.314/O146/1000000</f>
        <v>7.2358526489976933E-4</v>
      </c>
      <c r="L146" s="28">
        <f t="shared" si="120"/>
        <v>227439965792379.06</v>
      </c>
      <c r="M146" s="27">
        <f t="shared" si="115"/>
        <v>1710534667172275.2</v>
      </c>
      <c r="N146" s="26">
        <f t="shared" si="116"/>
        <v>8.9686098654708513</v>
      </c>
      <c r="O146" s="29">
        <v>1115</v>
      </c>
      <c r="P146" s="30"/>
      <c r="Q146" s="27">
        <f t="shared" si="117"/>
        <v>1143710229906.2012</v>
      </c>
      <c r="R146" s="6"/>
    </row>
    <row r="147" spans="4:19" ht="15.75">
      <c r="D147" s="26">
        <f t="shared" si="110"/>
        <v>0.9312655751257467</v>
      </c>
      <c r="E147" s="26">
        <f t="shared" si="111"/>
        <v>-3.0926450743407073E-2</v>
      </c>
      <c r="F147" s="26">
        <f t="shared" si="112"/>
        <v>-2.6337741666408871</v>
      </c>
      <c r="G147" s="27">
        <f t="shared" si="113"/>
        <v>4.5966508825842954E-3</v>
      </c>
      <c r="H147" s="26">
        <f t="shared" si="118"/>
        <v>-0.29621568680955207</v>
      </c>
      <c r="I147" s="26">
        <f t="shared" si="114"/>
        <v>0.94672548918189381</v>
      </c>
      <c r="J147" s="31">
        <f t="shared" si="119"/>
        <v>0.7</v>
      </c>
      <c r="K147" s="27">
        <f>67.1*101325/8.314/O147/1000000</f>
        <v>6.7977233365947639E-4</v>
      </c>
      <c r="L147" s="28">
        <f t="shared" si="120"/>
        <v>230921799604271.5</v>
      </c>
      <c r="M147" s="27">
        <f t="shared" si="115"/>
        <v>1561503523164356</v>
      </c>
      <c r="N147" s="26">
        <f t="shared" si="116"/>
        <v>8.3125519534497094</v>
      </c>
      <c r="O147" s="29">
        <v>1203</v>
      </c>
      <c r="P147" s="30"/>
      <c r="Q147" s="27">
        <f t="shared" si="117"/>
        <v>983984544056.71387</v>
      </c>
      <c r="R147" s="6"/>
      <c r="S147" s="6"/>
    </row>
    <row r="148" spans="4:19" ht="15.75">
      <c r="D148" s="26">
        <f t="shared" si="110"/>
        <v>0.92720548526360469</v>
      </c>
      <c r="E148" s="26">
        <f t="shared" si="111"/>
        <v>-3.2824007790072184E-2</v>
      </c>
      <c r="F148" s="26">
        <f t="shared" si="112"/>
        <v>-2.5010319961329679</v>
      </c>
      <c r="G148" s="27">
        <f t="shared" si="113"/>
        <v>6.239987082979708E-3</v>
      </c>
      <c r="H148" s="26">
        <f t="shared" si="118"/>
        <v>-0.29621568680955207</v>
      </c>
      <c r="I148" s="26">
        <f t="shared" si="114"/>
        <v>0.94672548918189381</v>
      </c>
      <c r="J148" s="31">
        <f t="shared" si="119"/>
        <v>0.7</v>
      </c>
      <c r="K148" s="27">
        <f>92*101325/8.314/O148/1000000</f>
        <v>9.2816991048371301E-4</v>
      </c>
      <c r="L148" s="28">
        <f t="shared" si="120"/>
        <v>231113436216339.41</v>
      </c>
      <c r="M148" s="27">
        <f t="shared" si="115"/>
        <v>1553750924700244.7</v>
      </c>
      <c r="N148" s="26">
        <f t="shared" si="116"/>
        <v>8.2781456953642376</v>
      </c>
      <c r="O148" s="29">
        <v>1208</v>
      </c>
      <c r="P148" s="30"/>
      <c r="Q148" s="27">
        <f t="shared" si="117"/>
        <v>1328872474594.062</v>
      </c>
      <c r="R148" s="6"/>
      <c r="S148" s="6"/>
    </row>
    <row r="149" spans="4:19" ht="15.75">
      <c r="D149" s="26">
        <f t="shared" si="110"/>
        <v>0.92545602295638063</v>
      </c>
      <c r="E149" s="26">
        <f t="shared" si="111"/>
        <v>-3.3644213800490999E-2</v>
      </c>
      <c r="F149" s="26">
        <f t="shared" si="112"/>
        <v>-2.4479318851973879</v>
      </c>
      <c r="G149" s="27">
        <f t="shared" si="113"/>
        <v>7.0515372043080766E-3</v>
      </c>
      <c r="H149" s="26">
        <f t="shared" si="118"/>
        <v>-0.29621568680955207</v>
      </c>
      <c r="I149" s="26">
        <f t="shared" si="114"/>
        <v>0.94672548918189381</v>
      </c>
      <c r="J149" s="31">
        <f t="shared" si="119"/>
        <v>0.7</v>
      </c>
      <c r="K149" s="27">
        <f>92*101325/8.314/O149/1000000</f>
        <v>9.7668053298286157E-4</v>
      </c>
      <c r="L149" s="28">
        <f t="shared" si="120"/>
        <v>228770586454766.03</v>
      </c>
      <c r="M149" s="27">
        <f t="shared" si="115"/>
        <v>1651701090744958.5</v>
      </c>
      <c r="N149" s="26">
        <f t="shared" si="116"/>
        <v>8.7108013937282234</v>
      </c>
      <c r="O149" s="29">
        <v>1148</v>
      </c>
      <c r="P149" s="30"/>
      <c r="Q149" s="27">
        <f t="shared" si="117"/>
        <v>1482477383663.345</v>
      </c>
      <c r="R149" s="6"/>
      <c r="S149" s="6"/>
    </row>
    <row r="150" spans="4:19" ht="15.75">
      <c r="D150" s="26">
        <f t="shared" si="110"/>
        <v>0.9253641012185011</v>
      </c>
      <c r="E150" s="26">
        <f t="shared" si="111"/>
        <v>-3.3687352626397868E-2</v>
      </c>
      <c r="F150" s="26">
        <f t="shared" si="112"/>
        <v>-2.4452045218708731</v>
      </c>
      <c r="G150" s="27">
        <f t="shared" si="113"/>
        <v>7.0959601018021085E-3</v>
      </c>
      <c r="H150" s="26">
        <f t="shared" si="118"/>
        <v>-0.29621568680955207</v>
      </c>
      <c r="I150" s="26">
        <f t="shared" si="114"/>
        <v>0.94672548918189381</v>
      </c>
      <c r="J150" s="31">
        <f t="shared" si="119"/>
        <v>0.7</v>
      </c>
      <c r="K150" s="27">
        <f>92*101325/8.314/O150/1000000</f>
        <v>9.7923952127888683E-4</v>
      </c>
      <c r="L150" s="28">
        <f t="shared" si="120"/>
        <v>228650894767428.16</v>
      </c>
      <c r="M150" s="27">
        <f t="shared" si="115"/>
        <v>1656895571771899.7</v>
      </c>
      <c r="N150" s="26">
        <f t="shared" si="116"/>
        <v>8.7336244541484724</v>
      </c>
      <c r="O150" s="29">
        <v>1145</v>
      </c>
      <c r="P150" s="30"/>
      <c r="Q150" s="27">
        <f t="shared" si="117"/>
        <v>1490822242732.217</v>
      </c>
      <c r="R150" s="6"/>
      <c r="S150" s="6"/>
    </row>
    <row r="151" spans="4:19" ht="15.75">
      <c r="D151" s="26">
        <f t="shared" si="110"/>
        <v>0.92719118451598026</v>
      </c>
      <c r="E151" s="26">
        <f>LOG(J151)/(1+(F151/(I151-0.14*F151))^2)</f>
        <v>-3.2830706179776722E-2</v>
      </c>
      <c r="F151" s="26">
        <f>LOG(G151)+H151</f>
        <v>-2.5005885112732877</v>
      </c>
      <c r="G151" s="27">
        <f>M151*K151/L151</f>
        <v>6.2463623728877104E-3</v>
      </c>
      <c r="H151" s="26">
        <f>-0.4-0.67*LOG(J151)</f>
        <v>-0.29621568680955207</v>
      </c>
      <c r="I151" s="26">
        <f>0.75-1.27*LOG(J151)</f>
        <v>0.94672548918189381</v>
      </c>
      <c r="J151" s="31">
        <f t="shared" si="119"/>
        <v>0.7</v>
      </c>
      <c r="K151" s="27">
        <f>91*101325/8.314/O151/1000000</f>
        <v>9.2266387469845191E-4</v>
      </c>
      <c r="L151" s="28">
        <f t="shared" si="120"/>
        <v>230883395843689.56</v>
      </c>
      <c r="M151" s="27">
        <f>$B$7*O151^$B$8*EXP(-$B$9/1.987/O151)</f>
        <v>1563062558175803.5</v>
      </c>
      <c r="N151" s="26">
        <f>10000/O151</f>
        <v>8.3194675540765388</v>
      </c>
      <c r="O151" s="29">
        <v>1202</v>
      </c>
      <c r="P151" s="30"/>
      <c r="Q151" s="27">
        <f>L151/(1+L151/M151/K151)*D151</f>
        <v>1328877191567.9797</v>
      </c>
      <c r="R151" s="27"/>
      <c r="S151" s="6"/>
    </row>
    <row r="152" spans="4:19" ht="15.75">
      <c r="D152" s="26">
        <f t="shared" si="110"/>
        <v>0.92524959695532571</v>
      </c>
      <c r="E152" s="26">
        <f>LOG(J152)/(1+(F152/(I152-0.14*F152))^2)</f>
        <v>-3.3741095414278423E-2</v>
      </c>
      <c r="F152" s="26">
        <f>LOG(G152)+H152</f>
        <v>-2.4418156391736185</v>
      </c>
      <c r="G152" s="27">
        <f>M152*K152/L152</f>
        <v>7.1515478310159508E-3</v>
      </c>
      <c r="H152" s="26">
        <f>-0.4-0.67*LOG(J152)</f>
        <v>-0.29621568680955207</v>
      </c>
      <c r="I152" s="26">
        <f>0.75-1.27*LOG(J152)</f>
        <v>0.94672548918189381</v>
      </c>
      <c r="J152" s="31">
        <f t="shared" si="119"/>
        <v>0.7</v>
      </c>
      <c r="K152" s="27">
        <f>93.5*101325/8.314/O152/1000000</f>
        <v>9.9174078640513878E-4</v>
      </c>
      <c r="L152" s="28">
        <f t="shared" si="120"/>
        <v>228810428077951.47</v>
      </c>
      <c r="M152" s="27">
        <f>$B$7*O152^$B$8*EXP(-$B$9/1.987/O152)</f>
        <v>1649976226717609</v>
      </c>
      <c r="N152" s="26">
        <f>10000/O152</f>
        <v>8.7032201914708445</v>
      </c>
      <c r="O152" s="29">
        <v>1149</v>
      </c>
      <c r="P152" s="30"/>
      <c r="Q152" s="27">
        <f>L152/(1+L152/M152/K152)*D152</f>
        <v>1503280213892.551</v>
      </c>
      <c r="R152" s="27"/>
      <c r="S152" s="6"/>
    </row>
    <row r="153" spans="4:19">
      <c r="D153" s="2" t="s">
        <v>4</v>
      </c>
      <c r="E153" s="2" t="s">
        <v>5</v>
      </c>
      <c r="F153" t="s">
        <v>6</v>
      </c>
      <c r="G153" t="s">
        <v>7</v>
      </c>
      <c r="H153" t="s">
        <v>8</v>
      </c>
      <c r="I153" t="s">
        <v>9</v>
      </c>
      <c r="J153" t="s">
        <v>10</v>
      </c>
      <c r="K153" t="s">
        <v>11</v>
      </c>
      <c r="L153" t="s">
        <v>12</v>
      </c>
      <c r="M153" t="s">
        <v>13</v>
      </c>
      <c r="N153" t="s">
        <v>14</v>
      </c>
      <c r="P153">
        <f>760*50</f>
        <v>38000</v>
      </c>
      <c r="Q153" t="s">
        <v>16</v>
      </c>
      <c r="R153" s="27"/>
      <c r="S153" s="6"/>
    </row>
    <row r="154" spans="4:19" ht="15.75">
      <c r="D154" s="2">
        <f t="shared" ref="D154:D166" si="121">10^E154</f>
        <v>0.85920822975565381</v>
      </c>
      <c r="E154" s="2">
        <f t="shared" ref="E154:E164" si="122">LOG(J154)/(1+(F154/(I154-0.14*F154))^2)</f>
        <v>-6.5901571821020188E-2</v>
      </c>
      <c r="F154" s="2">
        <f t="shared" ref="F154:F164" si="123">LOG(G154)+H154</f>
        <v>-1.3139801881854229</v>
      </c>
      <c r="G154" s="6">
        <f t="shared" ref="G154:G164" si="124">M154*K154/L154</f>
        <v>9.5992101297862564E-2</v>
      </c>
      <c r="H154" s="2">
        <f>-0.4-0.67*LOG(J154)</f>
        <v>-0.29621568680955207</v>
      </c>
      <c r="I154" s="2">
        <f t="shared" ref="I154:I164" si="125">0.75-1.27*LOG(J154)</f>
        <v>0.94672548918189381</v>
      </c>
      <c r="J154" s="4">
        <f>(1-$B$10)*EXP(-O154/$B$11)+$B$10*EXP(-O154/$B$12)+EXP(-B$13/O154)</f>
        <v>0.7</v>
      </c>
      <c r="K154" s="6">
        <f>$P$153*101325/760/8.314/O154/1000000</f>
        <v>2.0312124127976907E-3</v>
      </c>
      <c r="L154" s="9">
        <f>B$4*O154^B$5*EXP(-B$6/1.987/O154)</f>
        <v>174918626629333.09</v>
      </c>
      <c r="M154" s="6">
        <f t="shared" ref="M154:M164" si="126">$B$7*O154^$B$8*EXP(-$B$9/1.987/O154)</f>
        <v>8266396178211182</v>
      </c>
      <c r="N154" s="2">
        <f t="shared" ref="N154:N164" si="127">10000/O154</f>
        <v>33.333333333333336</v>
      </c>
      <c r="O154" s="12">
        <v>300</v>
      </c>
      <c r="P154" s="13"/>
      <c r="Q154" s="6">
        <f t="shared" ref="Q154:Q164" si="128">L154/(1+L154/M154/K154)*D154</f>
        <v>13163232777440.42</v>
      </c>
      <c r="R154" s="27"/>
      <c r="S154" s="6"/>
    </row>
    <row r="155" spans="4:19" ht="15.75">
      <c r="D155" s="2">
        <f t="shared" si="121"/>
        <v>0.88404445188957703</v>
      </c>
      <c r="E155" s="2">
        <f t="shared" si="122"/>
        <v>-5.3525897062731191E-2</v>
      </c>
      <c r="F155" s="2">
        <f t="shared" si="123"/>
        <v>-1.6138331560453429</v>
      </c>
      <c r="G155" s="6">
        <f t="shared" si="124"/>
        <v>4.8126306295938191E-2</v>
      </c>
      <c r="H155" s="2">
        <f t="shared" ref="H155:H164" si="129">-0.4-0.67*LOG(J155)</f>
        <v>-0.29621568680955207</v>
      </c>
      <c r="I155" s="2">
        <f t="shared" si="125"/>
        <v>0.94672548918189381</v>
      </c>
      <c r="J155" s="4">
        <f t="shared" ref="J155:J166" si="130">(1-$B$10)*EXP(-O155/$B$11)+$B$10*EXP(-O155/$B$12)+EXP(-B$13/O155)</f>
        <v>0.7</v>
      </c>
      <c r="K155" s="6">
        <f t="shared" ref="K155:K166" si="131">$P$153*101325/760/8.314/O155/1000000</f>
        <v>1.5234093095982679E-3</v>
      </c>
      <c r="L155" s="9">
        <f t="shared" ref="L155:L166" si="132">B$4*O155^B$5*EXP(-B$6/1.987/O155)</f>
        <v>185277979569305.25</v>
      </c>
      <c r="M155" s="6">
        <f t="shared" si="126"/>
        <v>5853151046448811</v>
      </c>
      <c r="N155" s="2">
        <f t="shared" si="127"/>
        <v>25</v>
      </c>
      <c r="O155" s="12">
        <v>400</v>
      </c>
      <c r="P155" s="13"/>
      <c r="Q155" s="6">
        <f t="shared" si="128"/>
        <v>7520848124191.0928</v>
      </c>
      <c r="R155" s="27"/>
      <c r="S155" s="6"/>
    </row>
    <row r="156" spans="4:19" ht="15.75">
      <c r="D156" s="2">
        <f t="shared" si="121"/>
        <v>0.89891782795650077</v>
      </c>
      <c r="E156" s="2">
        <f t="shared" si="122"/>
        <v>-4.6280006260226131E-2</v>
      </c>
      <c r="F156" s="2">
        <f t="shared" si="123"/>
        <v>-1.8464171872646782</v>
      </c>
      <c r="G156" s="6">
        <f t="shared" si="124"/>
        <v>2.8170755839660073E-2</v>
      </c>
      <c r="H156" s="2">
        <f t="shared" si="129"/>
        <v>-0.29621568680955207</v>
      </c>
      <c r="I156" s="2">
        <f t="shared" si="125"/>
        <v>0.94672548918189381</v>
      </c>
      <c r="J156" s="4">
        <f t="shared" si="130"/>
        <v>0.7</v>
      </c>
      <c r="K156" s="6">
        <f t="shared" si="131"/>
        <v>1.2187274476786144E-3</v>
      </c>
      <c r="L156" s="9">
        <f t="shared" si="132"/>
        <v>193733983661863.44</v>
      </c>
      <c r="M156" s="6">
        <f t="shared" si="126"/>
        <v>4478140507935994.5</v>
      </c>
      <c r="N156" s="2">
        <f t="shared" si="127"/>
        <v>20</v>
      </c>
      <c r="O156" s="12">
        <v>500</v>
      </c>
      <c r="P156" s="13"/>
      <c r="Q156" s="6">
        <f t="shared" si="128"/>
        <v>4771545340083.9219</v>
      </c>
      <c r="R156" s="27"/>
      <c r="S156" s="6"/>
    </row>
    <row r="157" spans="4:19" ht="15.75">
      <c r="D157" s="2">
        <f t="shared" si="121"/>
        <v>0.90887731750829093</v>
      </c>
      <c r="E157" s="2">
        <f t="shared" si="122"/>
        <v>-4.1494734957315739E-2</v>
      </c>
      <c r="F157" s="2">
        <f t="shared" si="123"/>
        <v>-2.0364521777789779</v>
      </c>
      <c r="G157" s="6">
        <f t="shared" si="124"/>
        <v>1.8187102273914312E-2</v>
      </c>
      <c r="H157" s="2">
        <f t="shared" si="129"/>
        <v>-0.29621568680955207</v>
      </c>
      <c r="I157" s="2">
        <f t="shared" si="125"/>
        <v>0.94672548918189381</v>
      </c>
      <c r="J157" s="4">
        <f t="shared" si="130"/>
        <v>0.7</v>
      </c>
      <c r="K157" s="6">
        <f t="shared" si="131"/>
        <v>1.0156062063988453E-3</v>
      </c>
      <c r="L157" s="9">
        <f t="shared" si="132"/>
        <v>200928738667455.53</v>
      </c>
      <c r="M157" s="6">
        <f t="shared" si="126"/>
        <v>3598157924685335</v>
      </c>
      <c r="N157" s="2">
        <f t="shared" si="127"/>
        <v>16.666666666666668</v>
      </c>
      <c r="O157" s="12">
        <v>600</v>
      </c>
      <c r="P157" s="13"/>
      <c r="Q157" s="6">
        <f t="shared" si="128"/>
        <v>3261994621755.8989</v>
      </c>
      <c r="R157" s="27"/>
      <c r="S157" s="6"/>
    </row>
    <row r="158" spans="4:19" ht="15.75">
      <c r="D158" s="2">
        <f t="shared" si="121"/>
        <v>0.91606052721503672</v>
      </c>
      <c r="E158" s="2">
        <f t="shared" si="122"/>
        <v>-3.807583007990846E-2</v>
      </c>
      <c r="F158" s="2">
        <f t="shared" si="123"/>
        <v>-2.1971244728924497</v>
      </c>
      <c r="G158" s="6">
        <f t="shared" si="124"/>
        <v>1.2562937926168957E-2</v>
      </c>
      <c r="H158" s="2">
        <f t="shared" si="129"/>
        <v>-0.29621568680955207</v>
      </c>
      <c r="I158" s="2">
        <f t="shared" si="125"/>
        <v>0.94672548918189381</v>
      </c>
      <c r="J158" s="4">
        <f t="shared" si="130"/>
        <v>0.7</v>
      </c>
      <c r="K158" s="6">
        <f t="shared" si="131"/>
        <v>8.7051960548472458E-4</v>
      </c>
      <c r="L158" s="9">
        <f t="shared" si="132"/>
        <v>207219879055280.06</v>
      </c>
      <c r="M158" s="6">
        <f t="shared" si="126"/>
        <v>2990501835039261</v>
      </c>
      <c r="N158" s="2">
        <f t="shared" si="127"/>
        <v>14.285714285714286</v>
      </c>
      <c r="O158" s="12">
        <v>700</v>
      </c>
      <c r="P158" s="13"/>
      <c r="Q158" s="6">
        <f t="shared" si="128"/>
        <v>2355183621795.186</v>
      </c>
    </row>
    <row r="159" spans="4:19" ht="15.75">
      <c r="D159" s="2">
        <f t="shared" si="121"/>
        <v>0.92151897176976527</v>
      </c>
      <c r="E159" s="2">
        <f t="shared" si="122"/>
        <v>-3.5495719316196786E-2</v>
      </c>
      <c r="F159" s="2">
        <f t="shared" si="123"/>
        <v>-2.3363051456388972</v>
      </c>
      <c r="G159" s="6">
        <f t="shared" si="124"/>
        <v>9.1182299672134051E-3</v>
      </c>
      <c r="H159" s="2">
        <f t="shared" si="129"/>
        <v>-0.29621568680955207</v>
      </c>
      <c r="I159" s="2">
        <f t="shared" si="125"/>
        <v>0.94672548918189381</v>
      </c>
      <c r="J159" s="4">
        <f t="shared" si="130"/>
        <v>0.7</v>
      </c>
      <c r="K159" s="6">
        <f t="shared" si="131"/>
        <v>7.6170465479913395E-4</v>
      </c>
      <c r="L159" s="9">
        <f t="shared" si="132"/>
        <v>212828510348435.22</v>
      </c>
      <c r="M159" s="6">
        <f t="shared" si="126"/>
        <v>2547731970271657.5</v>
      </c>
      <c r="N159" s="2">
        <f t="shared" si="127"/>
        <v>12.5</v>
      </c>
      <c r="O159" s="12">
        <v>800</v>
      </c>
      <c r="P159" s="13"/>
      <c r="Q159" s="6">
        <f t="shared" si="128"/>
        <v>1772158553565.7781</v>
      </c>
    </row>
    <row r="160" spans="4:19" ht="15.75">
      <c r="D160" s="2">
        <f t="shared" si="121"/>
        <v>0.92582933130692169</v>
      </c>
      <c r="E160" s="2">
        <f t="shared" si="122"/>
        <v>-3.3469064401169667E-2</v>
      </c>
      <c r="F160" s="2">
        <f t="shared" si="123"/>
        <v>-2.4590711995126133</v>
      </c>
      <c r="G160" s="6">
        <f t="shared" si="124"/>
        <v>6.872970617936988E-3</v>
      </c>
      <c r="H160" s="2">
        <f t="shared" si="129"/>
        <v>-0.29621568680955207</v>
      </c>
      <c r="I160" s="2">
        <f t="shared" si="125"/>
        <v>0.94672548918189381</v>
      </c>
      <c r="J160" s="4">
        <f t="shared" si="130"/>
        <v>0.7</v>
      </c>
      <c r="K160" s="6">
        <f t="shared" si="131"/>
        <v>6.7707080426589682E-4</v>
      </c>
      <c r="L160" s="9">
        <f t="shared" si="132"/>
        <v>217901545107214.97</v>
      </c>
      <c r="M160" s="6">
        <f t="shared" si="126"/>
        <v>2211926592742013.2</v>
      </c>
      <c r="N160" s="2">
        <f t="shared" si="127"/>
        <v>11.111111111111111</v>
      </c>
      <c r="O160" s="12">
        <v>900</v>
      </c>
      <c r="P160" s="13"/>
      <c r="Q160" s="6">
        <f t="shared" si="128"/>
        <v>1377085959210.3472</v>
      </c>
      <c r="R160" s="6"/>
    </row>
    <row r="161" spans="4:25" ht="15.75">
      <c r="D161" s="2">
        <f t="shared" si="121"/>
        <v>0.92933456282512783</v>
      </c>
      <c r="E161" s="2">
        <f t="shared" si="122"/>
        <v>-3.1827910730044262E-2</v>
      </c>
      <c r="F161" s="2">
        <f t="shared" si="123"/>
        <v>-2.5688891768582329</v>
      </c>
      <c r="G161" s="6">
        <f t="shared" si="124"/>
        <v>5.3373601646615381E-3</v>
      </c>
      <c r="H161" s="2">
        <f t="shared" si="129"/>
        <v>-0.29621568680955207</v>
      </c>
      <c r="I161" s="2">
        <f t="shared" si="125"/>
        <v>0.94672548918189381</v>
      </c>
      <c r="J161" s="4">
        <f t="shared" si="130"/>
        <v>0.7</v>
      </c>
      <c r="K161" s="6">
        <f t="shared" si="131"/>
        <v>6.093637238393072E-4</v>
      </c>
      <c r="L161" s="9">
        <f t="shared" si="132"/>
        <v>222541908339404.97</v>
      </c>
      <c r="M161" s="6">
        <f t="shared" si="126"/>
        <v>1949223870851435.5</v>
      </c>
      <c r="N161" s="2">
        <f t="shared" si="127"/>
        <v>10</v>
      </c>
      <c r="O161" s="12">
        <v>1000</v>
      </c>
      <c r="P161" s="13"/>
      <c r="Q161" s="6">
        <f t="shared" si="128"/>
        <v>1097990506419.8336</v>
      </c>
      <c r="R161" s="6"/>
      <c r="S161" s="6"/>
    </row>
    <row r="162" spans="4:25" ht="15.75">
      <c r="D162" s="2">
        <f t="shared" si="121"/>
        <v>0.93225174240687858</v>
      </c>
      <c r="E162" s="2">
        <f t="shared" si="122"/>
        <v>-3.0466796256292734E-2</v>
      </c>
      <c r="F162" s="2">
        <f t="shared" si="123"/>
        <v>-2.6682316212379735</v>
      </c>
      <c r="G162" s="6">
        <f t="shared" si="124"/>
        <v>4.2460398478008669E-3</v>
      </c>
      <c r="H162" s="2">
        <f t="shared" si="129"/>
        <v>-0.29621568680955207</v>
      </c>
      <c r="I162" s="2">
        <f t="shared" si="125"/>
        <v>0.94672548918189381</v>
      </c>
      <c r="J162" s="4">
        <f t="shared" si="130"/>
        <v>0.7</v>
      </c>
      <c r="K162" s="6">
        <f t="shared" si="131"/>
        <v>5.5396702167209743E-4</v>
      </c>
      <c r="L162" s="9">
        <f t="shared" si="132"/>
        <v>226824699879569.84</v>
      </c>
      <c r="M162" s="6">
        <f t="shared" si="126"/>
        <v>1738563265457714.2</v>
      </c>
      <c r="N162" s="2">
        <f t="shared" si="127"/>
        <v>9.0909090909090917</v>
      </c>
      <c r="O162" s="12">
        <v>1100</v>
      </c>
      <c r="P162" s="13"/>
      <c r="Q162" s="6">
        <f t="shared" si="128"/>
        <v>894061690828.29846</v>
      </c>
      <c r="R162" s="6"/>
      <c r="S162" s="6"/>
    </row>
    <row r="163" spans="4:25" ht="15.75">
      <c r="D163" s="2">
        <f t="shared" si="121"/>
        <v>0.9347252134186198</v>
      </c>
      <c r="E163" s="2">
        <f t="shared" si="122"/>
        <v>-2.9316042427547102E-2</v>
      </c>
      <c r="F163" s="2">
        <f t="shared" si="123"/>
        <v>-2.7589241673725331</v>
      </c>
      <c r="G163" s="6">
        <f t="shared" si="124"/>
        <v>3.4458115266738538E-3</v>
      </c>
      <c r="H163" s="2">
        <f t="shared" si="129"/>
        <v>-0.29621568680955207</v>
      </c>
      <c r="I163" s="2">
        <f t="shared" si="125"/>
        <v>0.94672548918189381</v>
      </c>
      <c r="J163" s="4">
        <f t="shared" si="130"/>
        <v>0.7</v>
      </c>
      <c r="K163" s="6">
        <f t="shared" si="131"/>
        <v>5.0780310319942267E-4</v>
      </c>
      <c r="L163" s="9">
        <f t="shared" si="132"/>
        <v>230806511578935.31</v>
      </c>
      <c r="M163" s="6">
        <f t="shared" si="126"/>
        <v>1566189204081614.2</v>
      </c>
      <c r="N163" s="2">
        <f t="shared" si="127"/>
        <v>8.3333333333333339</v>
      </c>
      <c r="O163" s="12">
        <v>1200</v>
      </c>
      <c r="P163" s="13"/>
      <c r="Q163" s="6">
        <f t="shared" si="128"/>
        <v>740848847467.22571</v>
      </c>
      <c r="R163" s="6"/>
      <c r="S163" s="6"/>
    </row>
    <row r="164" spans="4:25" ht="15.75">
      <c r="D164" s="2">
        <f t="shared" si="121"/>
        <v>0.93685486510160476</v>
      </c>
      <c r="E164" s="2">
        <f t="shared" si="122"/>
        <v>-2.8327683570670528E-2</v>
      </c>
      <c r="F164" s="2">
        <f t="shared" si="123"/>
        <v>-2.8423532223946415</v>
      </c>
      <c r="G164" s="6">
        <f t="shared" si="124"/>
        <v>2.8435604451113082E-3</v>
      </c>
      <c r="H164" s="2">
        <f t="shared" si="129"/>
        <v>-0.29621568680955207</v>
      </c>
      <c r="I164" s="2">
        <f t="shared" si="125"/>
        <v>0.94672548918189381</v>
      </c>
      <c r="J164" s="4">
        <f t="shared" si="130"/>
        <v>0.7</v>
      </c>
      <c r="K164" s="6">
        <f t="shared" si="131"/>
        <v>4.6874132603023634E-4</v>
      </c>
      <c r="L164" s="9">
        <f t="shared" si="132"/>
        <v>234531120441019.87</v>
      </c>
      <c r="M164" s="6">
        <f t="shared" si="126"/>
        <v>1422753617398568</v>
      </c>
      <c r="N164" s="2">
        <f t="shared" si="127"/>
        <v>7.6923076923076925</v>
      </c>
      <c r="O164" s="12">
        <v>1300</v>
      </c>
      <c r="P164" s="13"/>
      <c r="Q164" s="6">
        <f t="shared" si="128"/>
        <v>623020115630.97937</v>
      </c>
      <c r="R164" s="6"/>
      <c r="S164" s="6"/>
    </row>
    <row r="165" spans="4:25" ht="15.75">
      <c r="D165" s="2">
        <f t="shared" si="121"/>
        <v>0.94034956334395814</v>
      </c>
      <c r="E165" s="2">
        <f>LOG(J165)/(1+(F165/(I165-0.14*F165))^2)</f>
        <v>-2.6710672772136582E-2</v>
      </c>
      <c r="F165" s="2">
        <f>LOG(G165)+H165</f>
        <v>-2.9915081985918683</v>
      </c>
      <c r="G165" s="6">
        <f>M165*K165/L165</f>
        <v>2.0170073844958314E-3</v>
      </c>
      <c r="H165" s="2">
        <f>-0.4-0.67*LOG(J165)</f>
        <v>-0.29621568680955207</v>
      </c>
      <c r="I165" s="2">
        <f>0.75-1.27*LOG(J165)</f>
        <v>0.94672548918189381</v>
      </c>
      <c r="J165" s="4">
        <f t="shared" si="130"/>
        <v>0.7</v>
      </c>
      <c r="K165" s="6">
        <f t="shared" si="131"/>
        <v>4.0624248255953814E-4</v>
      </c>
      <c r="L165" s="9">
        <f t="shared" si="132"/>
        <v>241340417502550.47</v>
      </c>
      <c r="M165" s="6">
        <f>$B$7*O165^$B$8*EXP(-$B$9/1.987/O165)</f>
        <v>1198263168374097.5</v>
      </c>
      <c r="N165" s="2">
        <f>10000/O165</f>
        <v>6.666666666666667</v>
      </c>
      <c r="O165" s="12">
        <v>1500</v>
      </c>
      <c r="P165" s="13"/>
      <c r="Q165" s="6">
        <f>L165/(1+L165/M165/K165)*D165</f>
        <v>456827018886.33331</v>
      </c>
      <c r="R165" s="6"/>
    </row>
    <row r="166" spans="4:25" ht="15.75">
      <c r="D166" s="2">
        <f t="shared" si="121"/>
        <v>0.94429484029239019</v>
      </c>
      <c r="E166" s="2">
        <f>LOG(J166)/(1+(F166/(I166-0.14*F166))^2)</f>
        <v>-2.4892383329475021E-2</v>
      </c>
      <c r="F166" s="2">
        <f>LOG(G166)+H166</f>
        <v>-3.1815431891061681</v>
      </c>
      <c r="G166" s="6">
        <f>M166*K166/L166</f>
        <v>1.3021844283432873E-3</v>
      </c>
      <c r="H166" s="2">
        <f>-0.4-0.67*LOG(J166)</f>
        <v>-0.29621568680955207</v>
      </c>
      <c r="I166" s="2">
        <f>0.75-1.27*LOG(J166)</f>
        <v>0.94672548918189381</v>
      </c>
      <c r="J166" s="4">
        <f t="shared" si="130"/>
        <v>0.7</v>
      </c>
      <c r="K166" s="6">
        <f t="shared" si="131"/>
        <v>3.3853540213294841E-4</v>
      </c>
      <c r="L166" s="9">
        <f t="shared" si="132"/>
        <v>250303146415970.06</v>
      </c>
      <c r="M166" s="6">
        <f>$B$7*O166^$B$8*EXP(-$B$9/1.987/O166)</f>
        <v>962796970640618</v>
      </c>
      <c r="N166" s="2">
        <f>10000/O166</f>
        <v>5.5555555555555554</v>
      </c>
      <c r="O166" s="12">
        <v>1800</v>
      </c>
      <c r="P166" s="13"/>
      <c r="Q166" s="6">
        <f>L166/(1+L166/M166/K166)*D166</f>
        <v>307384001327.33099</v>
      </c>
      <c r="R166" s="6"/>
    </row>
    <row r="167" spans="4:25">
      <c r="D167" s="2" t="s">
        <v>4</v>
      </c>
      <c r="E167" s="2" t="s">
        <v>5</v>
      </c>
      <c r="F167" t="s">
        <v>6</v>
      </c>
      <c r="G167" t="s">
        <v>7</v>
      </c>
      <c r="H167" t="s">
        <v>8</v>
      </c>
      <c r="I167" t="s">
        <v>9</v>
      </c>
      <c r="J167" t="s">
        <v>10</v>
      </c>
      <c r="K167" t="s">
        <v>11</v>
      </c>
      <c r="L167" t="s">
        <v>12</v>
      </c>
      <c r="M167" t="s">
        <v>13</v>
      </c>
      <c r="N167" t="s">
        <v>14</v>
      </c>
      <c r="P167">
        <f>760*100</f>
        <v>76000</v>
      </c>
      <c r="Q167" t="s">
        <v>16</v>
      </c>
      <c r="R167" s="6"/>
    </row>
    <row r="168" spans="4:25" ht="15.75">
      <c r="D168" s="2">
        <f t="shared" ref="D168:D180" si="133">10^E168</f>
        <v>0.82600858217022488</v>
      </c>
      <c r="E168" s="2">
        <f t="shared" ref="E168:E178" si="134">LOG(J168)/(1+(F168/(I168-0.14*F168))^2)</f>
        <v>-8.3015440367500665E-2</v>
      </c>
      <c r="F168" s="2">
        <f t="shared" ref="F168:F178" si="135">LOG(G168)+H168</f>
        <v>-1.0129501925214417</v>
      </c>
      <c r="G168" s="6">
        <f t="shared" ref="G168:G178" si="136">M168*K168/L168</f>
        <v>0.19198420259572513</v>
      </c>
      <c r="H168" s="2">
        <f>-0.4-0.67*LOG(J168)</f>
        <v>-0.29621568680955207</v>
      </c>
      <c r="I168" s="2">
        <f t="shared" ref="I168:I178" si="137">0.75-1.27*LOG(J168)</f>
        <v>0.94672548918189381</v>
      </c>
      <c r="J168" s="4">
        <f>(1-$B$10)*EXP(-O168/$B$11)+$B$10*EXP(-O168/$B$12)+EXP(-B$13/O168)</f>
        <v>0.7</v>
      </c>
      <c r="K168" s="6">
        <f>$P$167*101325/760/8.314/O168/1000000</f>
        <v>4.0624248255953814E-3</v>
      </c>
      <c r="L168" s="9">
        <f>B$4*O168^B$5*EXP(-B$6/1.987/O168)</f>
        <v>174918626629333.09</v>
      </c>
      <c r="M168" s="6">
        <f t="shared" ref="M168:M178" si="138">$B$7*O168^$B$8*EXP(-$B$9/1.987/O168)</f>
        <v>8266396178211182</v>
      </c>
      <c r="N168" s="2">
        <f t="shared" ref="N168:N178" si="139">10000/O168</f>
        <v>33.333333333333336</v>
      </c>
      <c r="O168" s="12">
        <v>300</v>
      </c>
      <c r="P168" s="13"/>
      <c r="Q168" s="6">
        <f t="shared" ref="Q168:Q178" si="140">L168/(1+L168/M168/K168)*D168</f>
        <v>23271030374512.367</v>
      </c>
    </row>
    <row r="169" spans="4:25" ht="15.75">
      <c r="D169" s="2">
        <f t="shared" si="133"/>
        <v>0.8590957945190093</v>
      </c>
      <c r="E169" s="2">
        <f t="shared" si="134"/>
        <v>-6.5958406935442374E-2</v>
      </c>
      <c r="F169" s="2">
        <f t="shared" si="135"/>
        <v>-1.3128031603813617</v>
      </c>
      <c r="G169" s="6">
        <f t="shared" si="136"/>
        <v>9.6252612591876383E-2</v>
      </c>
      <c r="H169" s="2">
        <f t="shared" ref="H169:H178" si="141">-0.4-0.67*LOG(J169)</f>
        <v>-0.29621568680955207</v>
      </c>
      <c r="I169" s="2">
        <f t="shared" si="137"/>
        <v>0.94672548918189381</v>
      </c>
      <c r="J169" s="4">
        <f t="shared" ref="J169:J180" si="142">(1-$B$10)*EXP(-O169/$B$11)+$B$10*EXP(-O169/$B$12)+EXP(-B$13/O169)</f>
        <v>0.7</v>
      </c>
      <c r="K169" s="6">
        <f>$P$167*101325/760/8.314/O169/1000000</f>
        <v>3.0468186191965358E-3</v>
      </c>
      <c r="L169" s="9">
        <f t="shared" ref="L169:L180" si="143">B$4*O169^B$5*EXP(-B$6/1.987/O169)</f>
        <v>185277979569305.25</v>
      </c>
      <c r="M169" s="6">
        <f t="shared" si="138"/>
        <v>5853151046448811</v>
      </c>
      <c r="N169" s="2">
        <f t="shared" si="139"/>
        <v>25</v>
      </c>
      <c r="O169" s="12">
        <v>400</v>
      </c>
      <c r="P169" s="13"/>
      <c r="Q169" s="6">
        <f t="shared" si="140"/>
        <v>13975497738185.314</v>
      </c>
    </row>
    <row r="170" spans="4:25" ht="15.75">
      <c r="D170" s="2">
        <f t="shared" si="133"/>
        <v>0.87899565372989918</v>
      </c>
      <c r="E170" s="2">
        <f t="shared" si="134"/>
        <v>-5.6013272327579959E-2</v>
      </c>
      <c r="F170" s="2">
        <f t="shared" si="135"/>
        <v>-1.5453871916006969</v>
      </c>
      <c r="G170" s="6">
        <f t="shared" si="136"/>
        <v>5.6341511679320146E-2</v>
      </c>
      <c r="H170" s="2">
        <f t="shared" si="141"/>
        <v>-0.29621568680955207</v>
      </c>
      <c r="I170" s="2">
        <f t="shared" si="137"/>
        <v>0.94672548918189381</v>
      </c>
      <c r="J170" s="4">
        <f t="shared" si="142"/>
        <v>0.7</v>
      </c>
      <c r="K170" s="6">
        <f>$P$167*101325/760/8.314/O170/1000000</f>
        <v>2.4374548953572288E-3</v>
      </c>
      <c r="L170" s="9">
        <f t="shared" si="143"/>
        <v>193733983661863.44</v>
      </c>
      <c r="M170" s="6">
        <f t="shared" si="138"/>
        <v>4478140507935994.5</v>
      </c>
      <c r="N170" s="2">
        <f t="shared" si="139"/>
        <v>20</v>
      </c>
      <c r="O170" s="12">
        <v>500</v>
      </c>
      <c r="P170" s="13"/>
      <c r="Q170" s="6">
        <f t="shared" si="140"/>
        <v>9082735867624.9297</v>
      </c>
    </row>
    <row r="171" spans="4:25" ht="15.75">
      <c r="D171" s="2">
        <f t="shared" si="133"/>
        <v>0.89223031054331103</v>
      </c>
      <c r="E171" s="2">
        <f t="shared" si="134"/>
        <v>-4.9523027140014629E-2</v>
      </c>
      <c r="F171" s="2">
        <f t="shared" si="135"/>
        <v>-1.7354221821149969</v>
      </c>
      <c r="G171" s="6">
        <f t="shared" si="136"/>
        <v>3.6374204547828623E-2</v>
      </c>
      <c r="H171" s="2">
        <f t="shared" si="141"/>
        <v>-0.29621568680955207</v>
      </c>
      <c r="I171" s="2">
        <f t="shared" si="137"/>
        <v>0.94672548918189381</v>
      </c>
      <c r="J171" s="4">
        <f t="shared" si="142"/>
        <v>0.7</v>
      </c>
      <c r="K171" s="6">
        <f>$P$167*101325/760/8.314/O171/1000000</f>
        <v>2.0312124127976907E-3</v>
      </c>
      <c r="L171" s="9">
        <f t="shared" si="143"/>
        <v>200928738667455.53</v>
      </c>
      <c r="M171" s="6">
        <f t="shared" si="138"/>
        <v>3598157924685335</v>
      </c>
      <c r="N171" s="2">
        <f t="shared" si="139"/>
        <v>16.666666666666668</v>
      </c>
      <c r="O171" s="12">
        <v>600</v>
      </c>
      <c r="P171" s="13"/>
      <c r="Q171" s="6">
        <f t="shared" si="140"/>
        <v>6292104701037.168</v>
      </c>
    </row>
    <row r="172" spans="4:25" ht="15.75">
      <c r="D172" s="26">
        <f t="shared" si="133"/>
        <v>0.91963912753374233</v>
      </c>
      <c r="E172" s="26">
        <f t="shared" si="134"/>
        <v>-3.6382559248675263E-2</v>
      </c>
      <c r="F172" s="26">
        <f t="shared" si="135"/>
        <v>-2.2864796845139588</v>
      </c>
      <c r="G172" s="27">
        <f t="shared" si="136"/>
        <v>1.0226711448461509E-2</v>
      </c>
      <c r="H172" s="26">
        <f t="shared" si="141"/>
        <v>-0.29621568680955207</v>
      </c>
      <c r="I172" s="26">
        <f t="shared" si="137"/>
        <v>0.94672548918189381</v>
      </c>
      <c r="J172" s="31">
        <f t="shared" si="142"/>
        <v>0.7</v>
      </c>
      <c r="K172" s="27">
        <f>127.1*101325/8.314/O172/1000000</f>
        <v>1.3768911875551278E-3</v>
      </c>
      <c r="L172" s="28">
        <f t="shared" si="143"/>
        <v>227846474134855.41</v>
      </c>
      <c r="M172" s="27">
        <f t="shared" si="138"/>
        <v>1692305221056708.7</v>
      </c>
      <c r="N172" s="26">
        <f t="shared" si="139"/>
        <v>8.8888888888888893</v>
      </c>
      <c r="O172" s="29">
        <v>1125</v>
      </c>
      <c r="P172" s="30"/>
      <c r="Q172" s="27">
        <f t="shared" si="140"/>
        <v>2121176992645.8958</v>
      </c>
    </row>
    <row r="173" spans="4:25" ht="15.75">
      <c r="D173" s="26">
        <f t="shared" si="133"/>
        <v>0.92010335299401247</v>
      </c>
      <c r="E173" s="26">
        <f t="shared" si="134"/>
        <v>-3.616338666102549E-2</v>
      </c>
      <c r="F173" s="26">
        <f t="shared" si="135"/>
        <v>-2.2985895823303357</v>
      </c>
      <c r="G173" s="27">
        <f t="shared" si="136"/>
        <v>9.9454881548428076E-3</v>
      </c>
      <c r="H173" s="26">
        <f t="shared" si="141"/>
        <v>-0.29621568680955207</v>
      </c>
      <c r="I173" s="26">
        <f t="shared" si="137"/>
        <v>0.94672548918189381</v>
      </c>
      <c r="J173" s="31">
        <f t="shared" si="142"/>
        <v>0.7</v>
      </c>
      <c r="K173" s="27">
        <f>130.3*101325/8.314/O173/1000000</f>
        <v>1.3808711863697693E-3</v>
      </c>
      <c r="L173" s="28">
        <f t="shared" si="143"/>
        <v>228850241970753.34</v>
      </c>
      <c r="M173" s="27">
        <f t="shared" si="138"/>
        <v>1648254662143094</v>
      </c>
      <c r="N173" s="26">
        <f t="shared" si="139"/>
        <v>8.695652173913043</v>
      </c>
      <c r="O173" s="29">
        <v>1150</v>
      </c>
      <c r="P173" s="30"/>
      <c r="Q173" s="27">
        <f t="shared" si="140"/>
        <v>2073557870100.55</v>
      </c>
    </row>
    <row r="174" spans="4:25" ht="15.75">
      <c r="D174" s="26">
        <f t="shared" si="133"/>
        <v>0.91987987945588456</v>
      </c>
      <c r="E174" s="26">
        <f t="shared" si="134"/>
        <v>-3.6268880366865708E-2</v>
      </c>
      <c r="F174" s="26">
        <f t="shared" si="135"/>
        <v>-2.2927444110307573</v>
      </c>
      <c r="G174" s="27">
        <f t="shared" si="136"/>
        <v>1.0080249364268897E-2</v>
      </c>
      <c r="H174" s="26">
        <f t="shared" si="141"/>
        <v>-0.29621568680955207</v>
      </c>
      <c r="I174" s="26">
        <f t="shared" si="137"/>
        <v>0.94672548918189381</v>
      </c>
      <c r="J174" s="31">
        <f t="shared" si="142"/>
        <v>0.7</v>
      </c>
      <c r="K174" s="27">
        <f>150.1*101325/8.314/O174/1000000</f>
        <v>1.5080873033516903E-3</v>
      </c>
      <c r="L174" s="28">
        <f t="shared" si="143"/>
        <v>231304439316995.47</v>
      </c>
      <c r="M174" s="27">
        <f t="shared" si="138"/>
        <v>1546068601065584.2</v>
      </c>
      <c r="N174" s="26">
        <f t="shared" si="139"/>
        <v>8.2440230832646328</v>
      </c>
      <c r="O174" s="29">
        <v>1213</v>
      </c>
      <c r="P174" s="30"/>
      <c r="Q174" s="27">
        <f t="shared" si="140"/>
        <v>2123393503342.6182</v>
      </c>
      <c r="R174" s="6"/>
    </row>
    <row r="175" spans="4:25" ht="15.75">
      <c r="D175" s="26">
        <f t="shared" si="133"/>
        <v>0.91914270346247073</v>
      </c>
      <c r="E175" s="26">
        <f t="shared" si="134"/>
        <v>-3.6617056062207859E-2</v>
      </c>
      <c r="F175" s="26">
        <f t="shared" si="135"/>
        <v>-2.2736667165096476</v>
      </c>
      <c r="G175" s="27">
        <f t="shared" si="136"/>
        <v>1.0532924478814171E-2</v>
      </c>
      <c r="H175" s="26">
        <f t="shared" si="141"/>
        <v>-0.29621568680955207</v>
      </c>
      <c r="I175" s="26">
        <f t="shared" si="137"/>
        <v>0.94672548918189381</v>
      </c>
      <c r="J175" s="31">
        <f t="shared" si="142"/>
        <v>0.7</v>
      </c>
      <c r="K175" s="27">
        <f>150.1*101325/8.314/O175/1000000</f>
        <v>1.5359444995513016E-3</v>
      </c>
      <c r="L175" s="28">
        <f t="shared" si="143"/>
        <v>230459258483754.56</v>
      </c>
      <c r="M175" s="27">
        <f t="shared" si="138"/>
        <v>1580402134166973.2</v>
      </c>
      <c r="N175" s="26">
        <f t="shared" si="139"/>
        <v>8.3963056255247697</v>
      </c>
      <c r="O175" s="29">
        <v>1191</v>
      </c>
      <c r="P175" s="30"/>
      <c r="Q175" s="27">
        <f t="shared" si="140"/>
        <v>2207880716841.7407</v>
      </c>
      <c r="R175" s="6"/>
      <c r="S175" s="6"/>
      <c r="W175" s="33"/>
      <c r="Y175" s="6"/>
    </row>
    <row r="176" spans="4:25" ht="15.75">
      <c r="D176" s="26">
        <f t="shared" si="133"/>
        <v>0.91883365954267082</v>
      </c>
      <c r="E176" s="26">
        <f t="shared" si="134"/>
        <v>-3.6763103718751446E-2</v>
      </c>
      <c r="F176" s="26">
        <f t="shared" si="135"/>
        <v>-2.2657604326595497</v>
      </c>
      <c r="G176" s="27">
        <f t="shared" si="136"/>
        <v>1.0726431265116751E-2</v>
      </c>
      <c r="H176" s="26">
        <f t="shared" si="141"/>
        <v>-0.29621568680955207</v>
      </c>
      <c r="I176" s="26">
        <f t="shared" si="137"/>
        <v>0.94672548918189381</v>
      </c>
      <c r="J176" s="31">
        <f t="shared" si="142"/>
        <v>0.7</v>
      </c>
      <c r="K176" s="27">
        <f>150.1*101325/8.314/O176/1000000</f>
        <v>1.547639508431134E-3</v>
      </c>
      <c r="L176" s="28">
        <f t="shared" si="143"/>
        <v>230109899739203.28</v>
      </c>
      <c r="M176" s="27">
        <f t="shared" si="138"/>
        <v>1594853329557076.5</v>
      </c>
      <c r="N176" s="26">
        <f t="shared" si="139"/>
        <v>8.4602368866328259</v>
      </c>
      <c r="O176" s="29">
        <v>1182</v>
      </c>
      <c r="P176" s="30"/>
      <c r="Q176" s="27">
        <f t="shared" si="140"/>
        <v>2243850048630.2485</v>
      </c>
      <c r="R176" s="6"/>
      <c r="S176" s="6"/>
      <c r="W176" s="33"/>
      <c r="Y176" s="6"/>
    </row>
    <row r="177" spans="4:27" ht="15.75">
      <c r="D177" s="26">
        <f t="shared" si="133"/>
        <v>0.92149555796871574</v>
      </c>
      <c r="E177" s="26">
        <f t="shared" si="134"/>
        <v>-3.5506753938477541E-2</v>
      </c>
      <c r="F177" s="26">
        <f t="shared" si="135"/>
        <v>-2.3356714664222613</v>
      </c>
      <c r="G177" s="27">
        <f t="shared" si="136"/>
        <v>9.1315440904164435E-3</v>
      </c>
      <c r="H177" s="26">
        <f t="shared" si="141"/>
        <v>-0.29621568680955207</v>
      </c>
      <c r="I177" s="26">
        <f t="shared" si="137"/>
        <v>0.94672548918189381</v>
      </c>
      <c r="J177" s="31">
        <f t="shared" si="142"/>
        <v>0.7</v>
      </c>
      <c r="K177" s="27">
        <f>150.1*101325/8.314/O177/1000000</f>
        <v>1.4472388441183546E-3</v>
      </c>
      <c r="L177" s="28">
        <f t="shared" si="143"/>
        <v>233217546774108</v>
      </c>
      <c r="M177" s="27">
        <f t="shared" si="138"/>
        <v>1471516826459894</v>
      </c>
      <c r="N177" s="26">
        <f t="shared" si="139"/>
        <v>7.9113924050632916</v>
      </c>
      <c r="O177" s="29">
        <v>1264</v>
      </c>
      <c r="P177" s="30"/>
      <c r="Q177" s="27">
        <f t="shared" si="140"/>
        <v>1944692356702.3035</v>
      </c>
      <c r="R177" s="6"/>
      <c r="S177" s="6"/>
      <c r="W177" s="33"/>
      <c r="X177" s="34"/>
      <c r="Y177" s="6"/>
      <c r="Z177" s="27"/>
      <c r="AA177" s="27"/>
    </row>
    <row r="178" spans="4:27" ht="15.75">
      <c r="D178" s="26">
        <f t="shared" si="133"/>
        <v>0.92090820309184973</v>
      </c>
      <c r="E178" s="26">
        <f t="shared" si="134"/>
        <v>-3.5783658486736418E-2</v>
      </c>
      <c r="F178" s="26">
        <f t="shared" si="135"/>
        <v>-2.3198849323871937</v>
      </c>
      <c r="G178" s="27">
        <f t="shared" si="136"/>
        <v>9.469580808047471E-3</v>
      </c>
      <c r="H178" s="26">
        <f t="shared" si="141"/>
        <v>-0.29621568680955207</v>
      </c>
      <c r="I178" s="26">
        <f t="shared" si="137"/>
        <v>0.94672548918189381</v>
      </c>
      <c r="J178" s="31">
        <f t="shared" si="142"/>
        <v>0.7</v>
      </c>
      <c r="K178" s="27">
        <f>150.1*101325/8.314/O178/1000000</f>
        <v>1.4693252200526908E-3</v>
      </c>
      <c r="L178" s="28">
        <f t="shared" si="143"/>
        <v>232512164000555.19</v>
      </c>
      <c r="M178" s="27">
        <f t="shared" si="138"/>
        <v>1498506046046283.7</v>
      </c>
      <c r="N178" s="26">
        <f t="shared" si="139"/>
        <v>8.0321285140562253</v>
      </c>
      <c r="O178" s="29">
        <v>1245</v>
      </c>
      <c r="P178" s="30"/>
      <c r="Q178" s="27">
        <f t="shared" si="140"/>
        <v>2008628116487.5049</v>
      </c>
      <c r="R178" s="6"/>
      <c r="S178" s="6"/>
      <c r="W178" s="33"/>
      <c r="X178" s="34"/>
      <c r="Y178" s="6"/>
      <c r="Z178" s="27"/>
      <c r="AA178" s="27"/>
    </row>
    <row r="179" spans="4:27" ht="15.75">
      <c r="D179" s="2">
        <f t="shared" si="133"/>
        <v>0.93287454601847419</v>
      </c>
      <c r="E179" s="2">
        <f>LOG(J179)/(1+(F179/(I179-0.14*F179))^2)</f>
        <v>-3.0176756720034972E-2</v>
      </c>
      <c r="F179" s="2">
        <f>LOG(G179)+H179</f>
        <v>-2.6904782029278871</v>
      </c>
      <c r="G179" s="6">
        <f>M179*K179/L179</f>
        <v>4.0340147689916627E-3</v>
      </c>
      <c r="H179" s="2">
        <f>-0.4-0.67*LOG(J179)</f>
        <v>-0.29621568680955207</v>
      </c>
      <c r="I179" s="2">
        <f>0.75-1.27*LOG(J179)</f>
        <v>0.94672548918189381</v>
      </c>
      <c r="J179" s="4">
        <f t="shared" si="142"/>
        <v>0.7</v>
      </c>
      <c r="K179" s="6">
        <f>$P$167*101325/760/8.314/O179/1000000</f>
        <v>8.1248496511907627E-4</v>
      </c>
      <c r="L179" s="9">
        <f t="shared" si="143"/>
        <v>241340417502550.47</v>
      </c>
      <c r="M179" s="6">
        <f>$B$7*O179^$B$8*EXP(-$B$9/1.987/O179)</f>
        <v>1198263168374097.5</v>
      </c>
      <c r="N179" s="2">
        <f>10000/O179</f>
        <v>6.666666666666667</v>
      </c>
      <c r="O179" s="12">
        <v>1500</v>
      </c>
      <c r="P179" s="13"/>
      <c r="Q179" s="6">
        <f>L179/(1+L179/M179/K179)*D179</f>
        <v>904570375796.60193</v>
      </c>
      <c r="R179" s="6"/>
      <c r="S179" s="6"/>
      <c r="W179" s="33"/>
      <c r="X179" s="34"/>
      <c r="Y179" s="6"/>
      <c r="Z179" s="27"/>
      <c r="AA179" s="27"/>
    </row>
    <row r="180" spans="4:27" ht="15.75">
      <c r="D180" s="2">
        <f t="shared" si="133"/>
        <v>0.93778561217699652</v>
      </c>
      <c r="E180" s="2">
        <f>LOG(J180)/(1+(F180/(I180-0.14*F180))^2)</f>
        <v>-2.7896434638404747E-2</v>
      </c>
      <c r="F180" s="2">
        <f>LOG(G180)+H180</f>
        <v>-2.8805131934421868</v>
      </c>
      <c r="G180" s="6">
        <f>M180*K180/L180</f>
        <v>2.6043688566865747E-3</v>
      </c>
      <c r="H180" s="2">
        <f>-0.4-0.67*LOG(J180)</f>
        <v>-0.29621568680955207</v>
      </c>
      <c r="I180" s="2">
        <f>0.75-1.27*LOG(J180)</f>
        <v>0.94672548918189381</v>
      </c>
      <c r="J180" s="4">
        <f t="shared" si="142"/>
        <v>0.7</v>
      </c>
      <c r="K180" s="6">
        <f>$P$167*101325/760/8.314/O180/1000000</f>
        <v>6.7707080426589682E-4</v>
      </c>
      <c r="L180" s="9">
        <f t="shared" si="143"/>
        <v>250303146415970.06</v>
      </c>
      <c r="M180" s="6">
        <f>$B$7*O180^$B$8*EXP(-$B$9/1.987/O180)</f>
        <v>962796970640618</v>
      </c>
      <c r="N180" s="2">
        <f>10000/O180</f>
        <v>5.5555555555555554</v>
      </c>
      <c r="O180" s="12">
        <v>1800</v>
      </c>
      <c r="P180" s="13"/>
      <c r="Q180" s="6">
        <f>L180/(1+L180/M180/K180)*D180</f>
        <v>609737316282.58154</v>
      </c>
      <c r="R180" s="6"/>
      <c r="W180" s="33"/>
      <c r="X180" s="34"/>
      <c r="Y180" s="6"/>
      <c r="Z180" s="27"/>
      <c r="AA180" s="27"/>
    </row>
    <row r="181" spans="4:27">
      <c r="D181" s="2" t="s">
        <v>4</v>
      </c>
      <c r="E181" s="2" t="s">
        <v>5</v>
      </c>
      <c r="F181" t="s">
        <v>6</v>
      </c>
      <c r="G181" t="s">
        <v>7</v>
      </c>
      <c r="H181" t="s">
        <v>8</v>
      </c>
      <c r="I181" t="s">
        <v>9</v>
      </c>
      <c r="J181" t="s">
        <v>10</v>
      </c>
      <c r="K181" t="s">
        <v>11</v>
      </c>
      <c r="L181" t="s">
        <v>12</v>
      </c>
      <c r="M181" t="s">
        <v>13</v>
      </c>
      <c r="N181" t="s">
        <v>14</v>
      </c>
      <c r="P181">
        <f>760*300</f>
        <v>228000</v>
      </c>
      <c r="Q181" t="s">
        <v>16</v>
      </c>
      <c r="R181" s="6"/>
      <c r="W181" s="33"/>
      <c r="X181" s="34"/>
      <c r="Y181" s="6"/>
      <c r="Z181" s="27"/>
      <c r="AA181" s="27"/>
    </row>
    <row r="182" spans="4:27" ht="15.75">
      <c r="D182" s="2">
        <f t="shared" ref="D182:D194" si="144">10^E182</f>
        <v>0.75598039220955215</v>
      </c>
      <c r="E182" s="2">
        <f t="shared" ref="E182:E192" si="145">LOG(J182)/(1+(F182/(I182-0.14*F182))^2)</f>
        <v>-0.12148946860676493</v>
      </c>
      <c r="F182" s="2">
        <f t="shared" ref="F182:F192" si="146">LOG(G182)+H182</f>
        <v>-0.53582893780177931</v>
      </c>
      <c r="G182" s="6">
        <f t="shared" ref="G182:G192" si="147">M182*K182/L182</f>
        <v>0.57595260778717539</v>
      </c>
      <c r="H182" s="2">
        <f>-0.4-0.67*LOG(J182)</f>
        <v>-0.29621568680955207</v>
      </c>
      <c r="I182" s="2">
        <f t="shared" ref="I182:I192" si="148">0.75-1.27*LOG(J182)</f>
        <v>0.94672548918189381</v>
      </c>
      <c r="J182" s="4">
        <f>(1-$B$10)*EXP(-O182/$B$11)+$B$10*EXP(-O182/$B$12)+EXP(-B$13/O182)</f>
        <v>0.7</v>
      </c>
      <c r="K182" s="6">
        <f>$P$181*101325/760/8.314/O182/1000000</f>
        <v>1.2187274476786143E-2</v>
      </c>
      <c r="L182" s="9">
        <f>B$4*O182^B$5*EXP(-B$6/1.987/O182)</f>
        <v>174918626629333.09</v>
      </c>
      <c r="M182" s="6">
        <f t="shared" ref="M182:M192" si="149">$B$7*O182^$B$8*EXP(-$B$9/1.987/O182)</f>
        <v>8266396178211182</v>
      </c>
      <c r="N182" s="2">
        <f t="shared" ref="N182:N192" si="150">10000/O182</f>
        <v>33.333333333333336</v>
      </c>
      <c r="O182" s="12">
        <v>300</v>
      </c>
      <c r="P182" s="13"/>
      <c r="Q182" s="6">
        <f t="shared" ref="Q182:Q192" si="151">L182/(1+L182/M182/K182)*D182</f>
        <v>48327038924398.492</v>
      </c>
      <c r="W182" s="33"/>
      <c r="X182" s="34"/>
      <c r="Y182" s="6"/>
      <c r="Z182" s="27"/>
      <c r="AA182" s="27"/>
    </row>
    <row r="183" spans="4:27" ht="15.75">
      <c r="D183" s="2">
        <f t="shared" si="144"/>
        <v>0.80207689902755108</v>
      </c>
      <c r="E183" s="2">
        <f t="shared" si="145"/>
        <v>-9.578399178775697E-2</v>
      </c>
      <c r="F183" s="2">
        <f t="shared" si="146"/>
        <v>-0.83568190566169931</v>
      </c>
      <c r="G183" s="6">
        <f t="shared" si="147"/>
        <v>0.28875783777562913</v>
      </c>
      <c r="H183" s="2">
        <f t="shared" ref="H183:H192" si="152">-0.4-0.67*LOG(J183)</f>
        <v>-0.29621568680955207</v>
      </c>
      <c r="I183" s="2">
        <f t="shared" si="148"/>
        <v>0.94672548918189381</v>
      </c>
      <c r="J183" s="4">
        <f t="shared" ref="J183:J194" si="153">(1-$B$10)*EXP(-O183/$B$11)+$B$10*EXP(-O183/$B$12)+EXP(-B$13/O183)</f>
        <v>0.7</v>
      </c>
      <c r="K183" s="6">
        <f t="shared" ref="K183:K194" si="154">$P$181*101325/760/8.314/O183/1000000</f>
        <v>9.1404558575896074E-3</v>
      </c>
      <c r="L183" s="9">
        <f t="shared" ref="L183:L194" si="155">B$4*O183^B$5*EXP(-B$6/1.987/O183)</f>
        <v>185277979569305.25</v>
      </c>
      <c r="M183" s="6">
        <f t="shared" si="149"/>
        <v>5853151046448811</v>
      </c>
      <c r="N183" s="2">
        <f t="shared" si="150"/>
        <v>25</v>
      </c>
      <c r="O183" s="12">
        <v>400</v>
      </c>
      <c r="P183" s="13"/>
      <c r="Q183" s="6">
        <f t="shared" si="151"/>
        <v>33296783016984.578</v>
      </c>
      <c r="W183" s="33"/>
      <c r="X183" s="34"/>
      <c r="Y183" s="6"/>
      <c r="Z183" s="27"/>
      <c r="AA183" s="27"/>
    </row>
    <row r="184" spans="4:27" ht="15.75">
      <c r="D184" s="2">
        <f t="shared" si="144"/>
        <v>0.83280703674433831</v>
      </c>
      <c r="E184" s="2">
        <f t="shared" si="145"/>
        <v>-7.9455613941413289E-2</v>
      </c>
      <c r="F184" s="2">
        <f t="shared" si="146"/>
        <v>-1.0682659368810348</v>
      </c>
      <c r="G184" s="6">
        <f t="shared" si="147"/>
        <v>0.16902453503796042</v>
      </c>
      <c r="H184" s="2">
        <f t="shared" si="152"/>
        <v>-0.29621568680955207</v>
      </c>
      <c r="I184" s="2">
        <f t="shared" si="148"/>
        <v>0.94672548918189381</v>
      </c>
      <c r="J184" s="4">
        <f t="shared" si="153"/>
        <v>0.7</v>
      </c>
      <c r="K184" s="6">
        <f t="shared" si="154"/>
        <v>7.3123646860716865E-3</v>
      </c>
      <c r="L184" s="9">
        <f t="shared" si="155"/>
        <v>193733983661863.44</v>
      </c>
      <c r="M184" s="6">
        <f t="shared" si="149"/>
        <v>4478140507935994.5</v>
      </c>
      <c r="N184" s="2">
        <f t="shared" si="150"/>
        <v>20</v>
      </c>
      <c r="O184" s="12">
        <v>500</v>
      </c>
      <c r="P184" s="13"/>
      <c r="Q184" s="6">
        <f t="shared" si="151"/>
        <v>23327936189143.223</v>
      </c>
      <c r="W184" s="33"/>
      <c r="X184" s="34"/>
      <c r="Y184" s="6"/>
      <c r="Z184" s="27"/>
      <c r="AA184" s="27"/>
    </row>
    <row r="185" spans="4:27" ht="15.75">
      <c r="D185" s="2">
        <f t="shared" si="144"/>
        <v>0.85374776688792109</v>
      </c>
      <c r="E185" s="2">
        <f t="shared" si="145"/>
        <v>-6.8670419274711708E-2</v>
      </c>
      <c r="F185" s="2">
        <f t="shared" si="146"/>
        <v>-1.2583009273953343</v>
      </c>
      <c r="G185" s="6">
        <f t="shared" si="147"/>
        <v>0.10912261364348588</v>
      </c>
      <c r="H185" s="2">
        <f t="shared" si="152"/>
        <v>-0.29621568680955207</v>
      </c>
      <c r="I185" s="2">
        <f t="shared" si="148"/>
        <v>0.94672548918189381</v>
      </c>
      <c r="J185" s="4">
        <f t="shared" si="153"/>
        <v>0.7</v>
      </c>
      <c r="K185" s="6">
        <f t="shared" si="154"/>
        <v>6.0936372383930716E-3</v>
      </c>
      <c r="L185" s="9">
        <f t="shared" si="155"/>
        <v>200928738667455.53</v>
      </c>
      <c r="M185" s="6">
        <f t="shared" si="149"/>
        <v>3598157924685335</v>
      </c>
      <c r="N185" s="2">
        <f t="shared" si="150"/>
        <v>16.666666666666668</v>
      </c>
      <c r="O185" s="12">
        <v>600</v>
      </c>
      <c r="P185" s="13"/>
      <c r="Q185" s="6">
        <f t="shared" si="151"/>
        <v>16877450308529.523</v>
      </c>
      <c r="W185" s="33"/>
      <c r="X185" s="34"/>
      <c r="Y185" s="6"/>
      <c r="Z185" s="27"/>
      <c r="AA185" s="27"/>
    </row>
    <row r="186" spans="4:27" ht="15.75">
      <c r="D186" s="2">
        <f t="shared" si="144"/>
        <v>0.8687394361969325</v>
      </c>
      <c r="E186" s="2">
        <f t="shared" si="145"/>
        <v>-6.1110463356389304E-2</v>
      </c>
      <c r="F186" s="2">
        <f t="shared" si="146"/>
        <v>-1.4189732225088059</v>
      </c>
      <c r="G186" s="6">
        <f t="shared" si="147"/>
        <v>7.5377627557013743E-2</v>
      </c>
      <c r="H186" s="2">
        <f t="shared" si="152"/>
        <v>-0.29621568680955207</v>
      </c>
      <c r="I186" s="2">
        <f t="shared" si="148"/>
        <v>0.94672548918189381</v>
      </c>
      <c r="J186" s="4">
        <f t="shared" si="153"/>
        <v>0.7</v>
      </c>
      <c r="K186" s="6">
        <f t="shared" si="154"/>
        <v>5.2231176329083475E-3</v>
      </c>
      <c r="L186" s="9">
        <f t="shared" si="155"/>
        <v>207219879055280.06</v>
      </c>
      <c r="M186" s="6">
        <f t="shared" si="149"/>
        <v>2990501835039261</v>
      </c>
      <c r="N186" s="2">
        <f t="shared" si="150"/>
        <v>14.285714285714286</v>
      </c>
      <c r="O186" s="12">
        <v>700</v>
      </c>
      <c r="P186" s="13"/>
      <c r="Q186" s="6">
        <f t="shared" si="151"/>
        <v>12618345651876.633</v>
      </c>
      <c r="W186" s="33"/>
      <c r="X186" s="34"/>
      <c r="Y186" s="6"/>
      <c r="Z186" s="27"/>
      <c r="AA186" s="27"/>
    </row>
    <row r="187" spans="4:27" ht="15.75">
      <c r="D187" s="2">
        <f t="shared" si="144"/>
        <v>0.87996298914499294</v>
      </c>
      <c r="E187" s="2">
        <f t="shared" si="145"/>
        <v>-5.5535593699967467E-2</v>
      </c>
      <c r="F187" s="2">
        <f t="shared" si="146"/>
        <v>-1.5581538952552538</v>
      </c>
      <c r="G187" s="6">
        <f t="shared" si="147"/>
        <v>5.4709379803280431E-2</v>
      </c>
      <c r="H187" s="2">
        <f t="shared" si="152"/>
        <v>-0.29621568680955207</v>
      </c>
      <c r="I187" s="2">
        <f t="shared" si="148"/>
        <v>0.94672548918189381</v>
      </c>
      <c r="J187" s="4">
        <f t="shared" si="153"/>
        <v>0.7</v>
      </c>
      <c r="K187" s="6">
        <f t="shared" si="154"/>
        <v>4.5702279287948037E-3</v>
      </c>
      <c r="L187" s="9">
        <f t="shared" si="155"/>
        <v>212828510348435.22</v>
      </c>
      <c r="M187" s="6">
        <f t="shared" si="149"/>
        <v>2547731970271657.5</v>
      </c>
      <c r="N187" s="2">
        <f t="shared" si="150"/>
        <v>12.5</v>
      </c>
      <c r="O187" s="12">
        <v>800</v>
      </c>
      <c r="P187" s="13"/>
      <c r="Q187" s="6">
        <f t="shared" si="151"/>
        <v>9714561339141.8672</v>
      </c>
      <c r="W187" s="33"/>
      <c r="X187" s="34"/>
      <c r="Y187" s="6"/>
      <c r="Z187" s="27"/>
      <c r="AA187" s="27"/>
    </row>
    <row r="188" spans="4:27" ht="15.75">
      <c r="D188" s="2">
        <f t="shared" si="144"/>
        <v>0.88867898928179245</v>
      </c>
      <c r="E188" s="2">
        <f t="shared" si="145"/>
        <v>-5.1255087578827178E-2</v>
      </c>
      <c r="F188" s="2">
        <f t="shared" si="146"/>
        <v>-1.6809199491289695</v>
      </c>
      <c r="G188" s="6">
        <f t="shared" si="147"/>
        <v>4.1237823707621933E-2</v>
      </c>
      <c r="H188" s="2">
        <f t="shared" si="152"/>
        <v>-0.29621568680955207</v>
      </c>
      <c r="I188" s="2">
        <f t="shared" si="148"/>
        <v>0.94672548918189381</v>
      </c>
      <c r="J188" s="4">
        <f t="shared" si="153"/>
        <v>0.7</v>
      </c>
      <c r="K188" s="6">
        <f t="shared" si="154"/>
        <v>4.0624248255953814E-3</v>
      </c>
      <c r="L188" s="9">
        <f t="shared" si="155"/>
        <v>217901545107214.97</v>
      </c>
      <c r="M188" s="6">
        <f t="shared" si="149"/>
        <v>2211926592742013.2</v>
      </c>
      <c r="N188" s="2">
        <f t="shared" si="150"/>
        <v>11.111111111111111</v>
      </c>
      <c r="O188" s="12">
        <v>900</v>
      </c>
      <c r="P188" s="13"/>
      <c r="Q188" s="6">
        <f t="shared" si="151"/>
        <v>7669216961454.667</v>
      </c>
    </row>
    <row r="189" spans="4:27" ht="15.75">
      <c r="D189" s="2">
        <f t="shared" si="144"/>
        <v>0.89565082193097545</v>
      </c>
      <c r="E189" s="2">
        <f t="shared" si="145"/>
        <v>-4.7861271214084282E-2</v>
      </c>
      <c r="F189" s="2">
        <f t="shared" si="146"/>
        <v>-1.7907379264745895</v>
      </c>
      <c r="G189" s="6">
        <f t="shared" si="147"/>
        <v>3.202416098796923E-2</v>
      </c>
      <c r="H189" s="2">
        <f t="shared" si="152"/>
        <v>-0.29621568680955207</v>
      </c>
      <c r="I189" s="2">
        <f t="shared" si="148"/>
        <v>0.94672548918189381</v>
      </c>
      <c r="J189" s="4">
        <f t="shared" si="153"/>
        <v>0.7</v>
      </c>
      <c r="K189" s="6">
        <f t="shared" si="154"/>
        <v>3.6561823430358432E-3</v>
      </c>
      <c r="L189" s="9">
        <f t="shared" si="155"/>
        <v>222541908339404.97</v>
      </c>
      <c r="M189" s="6">
        <f t="shared" si="149"/>
        <v>1949223870851435.5</v>
      </c>
      <c r="N189" s="2">
        <f t="shared" si="150"/>
        <v>10</v>
      </c>
      <c r="O189" s="12">
        <v>1000</v>
      </c>
      <c r="P189" s="13"/>
      <c r="Q189" s="6">
        <f t="shared" si="151"/>
        <v>6184981888414.1875</v>
      </c>
    </row>
    <row r="190" spans="4:27" ht="15.75">
      <c r="D190" s="2">
        <f t="shared" si="144"/>
        <v>0.90136314129632111</v>
      </c>
      <c r="E190" s="2">
        <f t="shared" si="145"/>
        <v>-4.510020515000334E-2</v>
      </c>
      <c r="F190" s="2">
        <f t="shared" si="146"/>
        <v>-1.8900803708543297</v>
      </c>
      <c r="G190" s="6">
        <f t="shared" si="147"/>
        <v>2.5476239086805203E-2</v>
      </c>
      <c r="H190" s="2">
        <f t="shared" si="152"/>
        <v>-0.29621568680955207</v>
      </c>
      <c r="I190" s="2">
        <f t="shared" si="148"/>
        <v>0.94672548918189381</v>
      </c>
      <c r="J190" s="4">
        <f t="shared" si="153"/>
        <v>0.7</v>
      </c>
      <c r="K190" s="6">
        <f t="shared" si="154"/>
        <v>3.3238021300325848E-3</v>
      </c>
      <c r="L190" s="9">
        <f t="shared" si="155"/>
        <v>226824699879569.84</v>
      </c>
      <c r="M190" s="6">
        <f t="shared" si="149"/>
        <v>1738563265457714.2</v>
      </c>
      <c r="N190" s="2">
        <f t="shared" si="150"/>
        <v>9.0909090909090917</v>
      </c>
      <c r="O190" s="12">
        <v>1100</v>
      </c>
      <c r="P190" s="13"/>
      <c r="Q190" s="6">
        <f t="shared" si="151"/>
        <v>5079253093450.1172</v>
      </c>
    </row>
    <row r="191" spans="4:27" ht="15.75">
      <c r="D191" s="2">
        <f t="shared" si="144"/>
        <v>0.90613688410816184</v>
      </c>
      <c r="E191" s="2">
        <f t="shared" si="145"/>
        <v>-4.2806191371310941E-2</v>
      </c>
      <c r="F191" s="2">
        <f t="shared" si="146"/>
        <v>-1.9807729169888897</v>
      </c>
      <c r="G191" s="6">
        <f t="shared" si="147"/>
        <v>2.0674869160043123E-2</v>
      </c>
      <c r="H191" s="2">
        <f t="shared" si="152"/>
        <v>-0.29621568680955207</v>
      </c>
      <c r="I191" s="2">
        <f t="shared" si="148"/>
        <v>0.94672548918189381</v>
      </c>
      <c r="J191" s="4">
        <f t="shared" si="153"/>
        <v>0.7</v>
      </c>
      <c r="K191" s="6">
        <f t="shared" si="154"/>
        <v>3.0468186191965358E-3</v>
      </c>
      <c r="L191" s="9">
        <f t="shared" si="155"/>
        <v>230806511578935.31</v>
      </c>
      <c r="M191" s="6">
        <f t="shared" si="149"/>
        <v>1566189204081614.2</v>
      </c>
      <c r="N191" s="2">
        <f t="shared" si="150"/>
        <v>8.3333333333333339</v>
      </c>
      <c r="O191" s="12">
        <v>1200</v>
      </c>
      <c r="P191" s="13"/>
      <c r="Q191" s="6">
        <f t="shared" si="151"/>
        <v>4236402481431.6636</v>
      </c>
    </row>
    <row r="192" spans="4:27" ht="15.75">
      <c r="D192" s="2">
        <f t="shared" si="144"/>
        <v>0.91019245719660735</v>
      </c>
      <c r="E192" s="2">
        <f t="shared" si="145"/>
        <v>-4.0866767831454938E-2</v>
      </c>
      <c r="F192" s="2">
        <f t="shared" si="146"/>
        <v>-2.0642019720109976</v>
      </c>
      <c r="G192" s="6">
        <f t="shared" si="147"/>
        <v>1.7061362670667848E-2</v>
      </c>
      <c r="H192" s="2">
        <f t="shared" si="152"/>
        <v>-0.29621568680955207</v>
      </c>
      <c r="I192" s="2">
        <f t="shared" si="148"/>
        <v>0.94672548918189381</v>
      </c>
      <c r="J192" s="4">
        <f t="shared" si="153"/>
        <v>0.7</v>
      </c>
      <c r="K192" s="6">
        <f t="shared" si="154"/>
        <v>2.8124479561814179E-3</v>
      </c>
      <c r="L192" s="9">
        <f t="shared" si="155"/>
        <v>234531120441019.87</v>
      </c>
      <c r="M192" s="6">
        <f t="shared" si="149"/>
        <v>1422753617398568</v>
      </c>
      <c r="N192" s="2">
        <f t="shared" si="150"/>
        <v>7.6923076923076925</v>
      </c>
      <c r="O192" s="12">
        <v>1300</v>
      </c>
      <c r="P192" s="13"/>
      <c r="Q192" s="6">
        <f t="shared" si="151"/>
        <v>3580966590555.6299</v>
      </c>
    </row>
    <row r="193" spans="4:17" ht="15.75">
      <c r="D193" s="2">
        <f t="shared" si="144"/>
        <v>0.9167313159740379</v>
      </c>
      <c r="E193" s="2">
        <f>LOG(J193)/(1+(F193/(I193-0.14*F193))^2)</f>
        <v>-3.7757932692218742E-2</v>
      </c>
      <c r="F193" s="2">
        <f>LOG(G193)+H193</f>
        <v>-2.2133569482082245</v>
      </c>
      <c r="G193" s="6">
        <f>M193*K193/L193</f>
        <v>1.2102044306974988E-2</v>
      </c>
      <c r="H193" s="2">
        <f>-0.4-0.67*LOG(J193)</f>
        <v>-0.29621568680955207</v>
      </c>
      <c r="I193" s="2">
        <f>0.75-1.27*LOG(J193)</f>
        <v>0.94672548918189381</v>
      </c>
      <c r="J193" s="4">
        <f t="shared" si="153"/>
        <v>0.7</v>
      </c>
      <c r="K193" s="6">
        <f t="shared" si="154"/>
        <v>2.4374548953572288E-3</v>
      </c>
      <c r="L193" s="9">
        <f t="shared" si="155"/>
        <v>241340417502550.47</v>
      </c>
      <c r="M193" s="6">
        <f>$B$7*O193^$B$8*EXP(-$B$9/1.987/O193)</f>
        <v>1198263168374097.5</v>
      </c>
      <c r="N193" s="2">
        <f>10000/O193</f>
        <v>6.666666666666667</v>
      </c>
      <c r="O193" s="12">
        <v>1500</v>
      </c>
      <c r="P193" s="13"/>
      <c r="Q193" s="6">
        <f>L193/(1+L193/M193/K193)*D193</f>
        <v>2645492675996.396</v>
      </c>
    </row>
    <row r="194" spans="4:17" ht="15.75">
      <c r="D194" s="2">
        <f t="shared" si="144"/>
        <v>0.92392872740691567</v>
      </c>
      <c r="E194" s="2">
        <f>LOG(J194)/(1+(F194/(I194-0.14*F194))^2)</f>
        <v>-3.436152930774776E-2</v>
      </c>
      <c r="F194" s="2">
        <f>LOG(G194)+H194</f>
        <v>-2.4033919387225247</v>
      </c>
      <c r="G194" s="6">
        <f>M194*K194/L194</f>
        <v>7.8131065700597253E-3</v>
      </c>
      <c r="H194" s="2">
        <f>-0.4-0.67*LOG(J194)</f>
        <v>-0.29621568680955207</v>
      </c>
      <c r="I194" s="2">
        <f>0.75-1.27*LOG(J194)</f>
        <v>0.94672548918189381</v>
      </c>
      <c r="J194" s="4">
        <f t="shared" si="153"/>
        <v>0.7</v>
      </c>
      <c r="K194" s="6">
        <f t="shared" si="154"/>
        <v>2.0312124127976907E-3</v>
      </c>
      <c r="L194" s="9">
        <f t="shared" si="155"/>
        <v>250303146415970.06</v>
      </c>
      <c r="M194" s="6">
        <f>$B$7*O194^$B$8*EXP(-$B$9/1.987/O194)</f>
        <v>962796970640618</v>
      </c>
      <c r="N194" s="2">
        <f>10000/O194</f>
        <v>5.5555555555555554</v>
      </c>
      <c r="O194" s="12">
        <v>1800</v>
      </c>
      <c r="P194" s="13"/>
      <c r="Q194" s="6">
        <f>L194/(1+L194/M194/K194)*D194</f>
        <v>1792868866358.229</v>
      </c>
    </row>
    <row r="195" spans="4:17">
      <c r="D195" s="2" t="s">
        <v>4</v>
      </c>
      <c r="E195" s="2" t="s">
        <v>5</v>
      </c>
      <c r="F195" t="s">
        <v>6</v>
      </c>
      <c r="G195" t="s">
        <v>7</v>
      </c>
      <c r="H195" t="s">
        <v>8</v>
      </c>
      <c r="I195" t="s">
        <v>9</v>
      </c>
      <c r="J195" t="s">
        <v>10</v>
      </c>
      <c r="K195" t="s">
        <v>11</v>
      </c>
      <c r="L195" t="s">
        <v>12</v>
      </c>
      <c r="M195" t="s">
        <v>13</v>
      </c>
      <c r="N195" t="s">
        <v>14</v>
      </c>
      <c r="P195">
        <f>760*900</f>
        <v>684000</v>
      </c>
      <c r="Q195" t="s">
        <v>16</v>
      </c>
    </row>
    <row r="196" spans="4:17" ht="15.75">
      <c r="D196" s="2">
        <f t="shared" ref="D196:D208" si="156">10^E196</f>
        <v>0.93892455469063907</v>
      </c>
      <c r="E196" s="2">
        <f t="shared" ref="E196:E206" si="157">LOG(J196)/(1+(F196/(I196-0.14*F196))^2)</f>
        <v>-2.7369303152319665E-2</v>
      </c>
      <c r="F196" s="2">
        <f t="shared" ref="F196:F206" si="158">LOG(G196)+H196</f>
        <v>-2.9287163571303751</v>
      </c>
      <c r="G196" s="6">
        <f t="shared" ref="G196:G206" si="159">M196*K196/L196</f>
        <v>2.3307695178053215E-3</v>
      </c>
      <c r="H196" s="2">
        <f>-0.4-0.67*LOG(J196)</f>
        <v>-0.29621568680955207</v>
      </c>
      <c r="I196" s="2">
        <f t="shared" ref="I196:I206" si="160">0.75-1.27*LOG(J196)</f>
        <v>0.94672548918189381</v>
      </c>
      <c r="J196" s="4">
        <f>(1-$B$10)*EXP(-O196/$B$11)+$B$10*EXP(-O196/$B$12)+EXP(-B$13/O196)</f>
        <v>0.7</v>
      </c>
      <c r="K196" s="6">
        <v>3.1712283466417109E-4</v>
      </c>
      <c r="L196" s="9">
        <f>B$4*O196^B$5*EXP(-B$6/1.987/O196)</f>
        <v>232661377769497.12</v>
      </c>
      <c r="M196" s="6">
        <v>1710000000000000</v>
      </c>
      <c r="N196" s="2">
        <f t="shared" ref="N196:N206" si="161">10000/O196</f>
        <v>8.0064051240992793</v>
      </c>
      <c r="O196" s="33">
        <v>1249</v>
      </c>
      <c r="P196" s="13"/>
      <c r="Q196" s="6">
        <f t="shared" ref="Q196:Q206" si="162">L196/(1+L196/M196/K196)*D196</f>
        <v>507976076750.52142</v>
      </c>
    </row>
    <row r="197" spans="4:17" ht="15.75">
      <c r="D197" s="2">
        <f t="shared" si="156"/>
        <v>0.93880913692712553</v>
      </c>
      <c r="E197" s="2">
        <f t="shared" si="157"/>
        <v>-2.7422692297004583E-2</v>
      </c>
      <c r="F197" s="2">
        <f t="shared" si="158"/>
        <v>-2.9237534675329617</v>
      </c>
      <c r="G197" s="6">
        <f t="shared" si="159"/>
        <v>2.3575570952965646E-3</v>
      </c>
      <c r="H197" s="2">
        <f t="shared" ref="H197:H206" si="163">-0.4-0.67*LOG(J197)</f>
        <v>-0.29621568680955207</v>
      </c>
      <c r="I197" s="2">
        <f t="shared" si="160"/>
        <v>0.94672548918189381</v>
      </c>
      <c r="J197" s="4">
        <f t="shared" ref="J197:J208" si="164">(1-$B$10)*EXP(-O197/$B$11)+$B$10*EXP(-O197/$B$12)+EXP(-B$13/O197)</f>
        <v>0.7</v>
      </c>
      <c r="K197" s="6">
        <v>3.1844168794183152E-4</v>
      </c>
      <c r="L197" s="9">
        <f t="shared" ref="L197:L208" si="165">B$4*O197^B$5*EXP(-B$6/1.987/O197)</f>
        <v>232325106506508.94</v>
      </c>
      <c r="M197" s="6">
        <v>1720000000000000</v>
      </c>
      <c r="N197" s="2">
        <f t="shared" si="161"/>
        <v>8.064516129032258</v>
      </c>
      <c r="O197" s="33">
        <v>1240</v>
      </c>
      <c r="P197" s="13"/>
      <c r="Q197" s="6">
        <f t="shared" si="162"/>
        <v>512994847253.46222</v>
      </c>
    </row>
    <row r="198" spans="4:17" ht="15.75">
      <c r="D198" s="2">
        <f t="shared" si="156"/>
        <v>0.93957091129758563</v>
      </c>
      <c r="E198" s="2">
        <f t="shared" si="157"/>
        <v>-2.7070437252562116E-2</v>
      </c>
      <c r="F198" s="2">
        <f t="shared" si="158"/>
        <v>-2.9568449749849628</v>
      </c>
      <c r="G198" s="6">
        <f t="shared" si="159"/>
        <v>2.1845938757419528E-3</v>
      </c>
      <c r="H198" s="2">
        <f t="shared" si="163"/>
        <v>-0.29621568680955207</v>
      </c>
      <c r="I198" s="2">
        <f t="shared" si="160"/>
        <v>0.94672548918189381</v>
      </c>
      <c r="J198" s="4">
        <f t="shared" si="164"/>
        <v>0.7</v>
      </c>
      <c r="K198" s="6">
        <v>3.0104024604013583E-4</v>
      </c>
      <c r="L198" s="9">
        <f t="shared" si="165"/>
        <v>232884483224617.78</v>
      </c>
      <c r="M198" s="6">
        <v>1690000000000000</v>
      </c>
      <c r="N198" s="2">
        <f t="shared" si="161"/>
        <v>7.9681274900398407</v>
      </c>
      <c r="O198" s="33">
        <v>1255</v>
      </c>
      <c r="P198" s="13"/>
      <c r="Q198" s="6">
        <f t="shared" si="162"/>
        <v>476972241903.95166</v>
      </c>
    </row>
    <row r="199" spans="4:17" ht="15.75">
      <c r="D199" s="2">
        <f t="shared" si="156"/>
        <v>0.93977479025992572</v>
      </c>
      <c r="E199" s="2">
        <f t="shared" si="157"/>
        <v>-2.6976209236296213E-2</v>
      </c>
      <c r="F199" s="2">
        <f t="shared" si="158"/>
        <v>-2.9658377265048808</v>
      </c>
      <c r="G199" s="6">
        <f t="shared" si="159"/>
        <v>2.1398235373494496E-3</v>
      </c>
      <c r="H199" s="2">
        <f t="shared" si="163"/>
        <v>-0.29621568680955207</v>
      </c>
      <c r="I199" s="2">
        <f t="shared" si="160"/>
        <v>0.94672548918189381</v>
      </c>
      <c r="J199" s="4">
        <f t="shared" si="164"/>
        <v>0.7</v>
      </c>
      <c r="K199" s="6">
        <v>3.0419900635401232E-4</v>
      </c>
      <c r="L199" s="9">
        <f t="shared" si="165"/>
        <v>233143696997809.16</v>
      </c>
      <c r="M199" s="6">
        <v>1640000000000000</v>
      </c>
      <c r="N199" s="2">
        <f t="shared" si="161"/>
        <v>7.9239302694136295</v>
      </c>
      <c r="O199" s="33">
        <v>1262</v>
      </c>
      <c r="P199" s="13"/>
      <c r="Q199" s="6">
        <f t="shared" si="162"/>
        <v>467839739638.94946</v>
      </c>
    </row>
    <row r="200" spans="4:17" ht="15.75">
      <c r="D200" s="2">
        <f t="shared" si="156"/>
        <v>0.9440700545225732</v>
      </c>
      <c r="E200" s="2">
        <f t="shared" si="157"/>
        <v>-2.499577777423629E-2</v>
      </c>
      <c r="F200" s="2">
        <f t="shared" si="158"/>
        <v>-3.1700136612819652</v>
      </c>
      <c r="G200" s="6">
        <f t="shared" si="159"/>
        <v>1.337217419980562E-3</v>
      </c>
      <c r="H200" s="2">
        <f t="shared" si="163"/>
        <v>-0.29621568680955207</v>
      </c>
      <c r="I200" s="2">
        <f t="shared" si="160"/>
        <v>0.94672548918189381</v>
      </c>
      <c r="J200" s="4">
        <f t="shared" si="164"/>
        <v>0.7</v>
      </c>
      <c r="K200" s="6">
        <v>1.7292754325169528E-4</v>
      </c>
      <c r="L200" s="9">
        <f t="shared" si="165"/>
        <v>230187718458298.25</v>
      </c>
      <c r="M200" s="6">
        <v>1780000000000000</v>
      </c>
      <c r="N200" s="2">
        <f t="shared" si="161"/>
        <v>8.4459459459459456</v>
      </c>
      <c r="O200" s="33">
        <v>1184</v>
      </c>
      <c r="P200" s="13"/>
      <c r="Q200" s="6">
        <f t="shared" si="162"/>
        <v>290207103037.64294</v>
      </c>
    </row>
    <row r="201" spans="4:17" ht="15.75">
      <c r="D201" s="2">
        <f t="shared" si="156"/>
        <v>0.94421814101144863</v>
      </c>
      <c r="E201" s="2">
        <f t="shared" si="157"/>
        <v>-2.492765984049404E-2</v>
      </c>
      <c r="F201" s="2">
        <f t="shared" si="158"/>
        <v>-3.1775989456074876</v>
      </c>
      <c r="G201" s="6">
        <f t="shared" si="159"/>
        <v>1.3140646766834894E-3</v>
      </c>
      <c r="H201" s="2">
        <f t="shared" si="163"/>
        <v>-0.29621568680955207</v>
      </c>
      <c r="I201" s="2">
        <f t="shared" si="160"/>
        <v>0.94672548918189381</v>
      </c>
      <c r="J201" s="4">
        <f t="shared" si="164"/>
        <v>0.7</v>
      </c>
      <c r="K201" s="6">
        <v>1.722114871719781E-4</v>
      </c>
      <c r="L201" s="9">
        <f t="shared" si="165"/>
        <v>230652434998589.81</v>
      </c>
      <c r="M201" s="6">
        <v>1760000000000000</v>
      </c>
      <c r="N201" s="2">
        <f t="shared" si="161"/>
        <v>8.3612040133779271</v>
      </c>
      <c r="O201" s="33">
        <v>1196</v>
      </c>
      <c r="P201" s="13"/>
      <c r="Q201" s="6">
        <f t="shared" si="162"/>
        <v>285809597793.16504</v>
      </c>
    </row>
    <row r="202" spans="4:17" ht="15.75">
      <c r="D202" s="2">
        <f t="shared" si="156"/>
        <v>0.94484077910377917</v>
      </c>
      <c r="E202" s="2">
        <f t="shared" si="157"/>
        <v>-2.4641370943271446E-2</v>
      </c>
      <c r="F202" s="2">
        <f t="shared" si="158"/>
        <v>-3.2099292535950328</v>
      </c>
      <c r="G202" s="6">
        <f t="shared" si="159"/>
        <v>1.2197938326667316E-3</v>
      </c>
      <c r="H202" s="2">
        <f t="shared" si="163"/>
        <v>-0.29621568680955207</v>
      </c>
      <c r="I202" s="2">
        <f t="shared" si="160"/>
        <v>0.94672548918189381</v>
      </c>
      <c r="J202" s="4">
        <f t="shared" si="164"/>
        <v>0.7</v>
      </c>
      <c r="K202" s="6">
        <v>1.699380681994107E-4</v>
      </c>
      <c r="L202" s="9">
        <f t="shared" si="165"/>
        <v>231266289151746.78</v>
      </c>
      <c r="M202" s="6">
        <v>1660000000000000</v>
      </c>
      <c r="N202" s="2">
        <f t="shared" si="161"/>
        <v>8.2508250825082516</v>
      </c>
      <c r="O202" s="33">
        <v>1212</v>
      </c>
      <c r="P202" s="13"/>
      <c r="Q202" s="6">
        <f t="shared" si="162"/>
        <v>266212207807.22729</v>
      </c>
    </row>
    <row r="203" spans="4:17" ht="15.75">
      <c r="D203" s="2">
        <f t="shared" si="156"/>
        <v>0.94426485917384684</v>
      </c>
      <c r="E203" s="2">
        <f t="shared" si="157"/>
        <v>-2.4906172286582935E-2</v>
      </c>
      <c r="F203" s="2">
        <f t="shared" si="158"/>
        <v>-3.1800001483744373</v>
      </c>
      <c r="G203" s="6">
        <f t="shared" si="159"/>
        <v>1.306819295867994E-3</v>
      </c>
      <c r="H203" s="2">
        <f t="shared" si="163"/>
        <v>-0.29621568680955207</v>
      </c>
      <c r="I203" s="2">
        <f t="shared" si="160"/>
        <v>0.94672548918189381</v>
      </c>
      <c r="J203" s="4">
        <f t="shared" si="164"/>
        <v>0.7</v>
      </c>
      <c r="K203" s="6">
        <v>1.7730650158535023E-4</v>
      </c>
      <c r="L203" s="9">
        <f t="shared" si="165"/>
        <v>230652434998589.81</v>
      </c>
      <c r="M203" s="6">
        <v>1700000000000000</v>
      </c>
      <c r="N203" s="2">
        <f t="shared" si="161"/>
        <v>8.3612040133779271</v>
      </c>
      <c r="O203" s="33">
        <v>1196</v>
      </c>
      <c r="P203" s="13"/>
      <c r="Q203" s="6">
        <f t="shared" si="162"/>
        <v>284249844693.27423</v>
      </c>
    </row>
    <row r="204" spans="4:17" ht="15.75">
      <c r="D204" s="2">
        <f t="shared" si="156"/>
        <v>0.94503696454304686</v>
      </c>
      <c r="E204" s="2">
        <f t="shared" si="157"/>
        <v>-2.4551203995386892E-2</v>
      </c>
      <c r="F204" s="2">
        <f t="shared" si="158"/>
        <v>-3.2202653778841221</v>
      </c>
      <c r="G204" s="6">
        <f t="shared" si="159"/>
        <v>1.1911057163828459E-3</v>
      </c>
      <c r="H204" s="2">
        <f t="shared" si="163"/>
        <v>-0.29621568680955207</v>
      </c>
      <c r="I204" s="2">
        <f t="shared" si="160"/>
        <v>0.94672548918189381</v>
      </c>
      <c r="J204" s="4">
        <f t="shared" si="164"/>
        <v>0.7</v>
      </c>
      <c r="K204" s="6">
        <v>1.6727631634804512E-4</v>
      </c>
      <c r="L204" s="9">
        <f t="shared" si="165"/>
        <v>231722439224328.69</v>
      </c>
      <c r="M204" s="6">
        <v>1650000000000000</v>
      </c>
      <c r="N204" s="2">
        <f t="shared" si="161"/>
        <v>8.1699346405228752</v>
      </c>
      <c r="O204" s="33">
        <v>1224</v>
      </c>
      <c r="P204" s="13"/>
      <c r="Q204" s="6">
        <f t="shared" si="162"/>
        <v>260525485303.66473</v>
      </c>
    </row>
    <row r="205" spans="4:17" ht="15.75">
      <c r="D205" s="2">
        <f t="shared" si="156"/>
        <v>0.9447098381445721</v>
      </c>
      <c r="E205" s="2">
        <f t="shared" si="157"/>
        <v>-2.4701561906784894E-2</v>
      </c>
      <c r="F205" s="2">
        <f t="shared" si="158"/>
        <v>-3.2030707449997902</v>
      </c>
      <c r="G205" s="6">
        <f t="shared" si="159"/>
        <v>1.2392100925548541E-3</v>
      </c>
      <c r="H205" s="2">
        <f t="shared" si="163"/>
        <v>-0.29621568680955207</v>
      </c>
      <c r="I205" s="2">
        <f t="shared" si="160"/>
        <v>0.94672548918189381</v>
      </c>
      <c r="J205" s="4">
        <f t="shared" si="164"/>
        <v>0.7</v>
      </c>
      <c r="K205" s="6">
        <v>1.7166589254781145E-4</v>
      </c>
      <c r="L205" s="9">
        <f t="shared" si="165"/>
        <v>231342564329667.94</v>
      </c>
      <c r="M205" s="6">
        <v>1670000000000000</v>
      </c>
      <c r="N205" s="2">
        <f t="shared" si="161"/>
        <v>8.2372322899505761</v>
      </c>
      <c r="O205" s="33">
        <v>1214</v>
      </c>
      <c r="P205" s="13"/>
      <c r="Q205" s="6">
        <f t="shared" si="162"/>
        <v>270496142581.63907</v>
      </c>
    </row>
    <row r="206" spans="4:17" ht="15.75">
      <c r="D206" s="2">
        <f t="shared" si="156"/>
        <v>0.94014719393784374</v>
      </c>
      <c r="E206" s="2">
        <f t="shared" si="157"/>
        <v>-2.680414585724613E-2</v>
      </c>
      <c r="F206" s="2">
        <f t="shared" si="158"/>
        <v>-2.9824158577198632</v>
      </c>
      <c r="G206" s="6">
        <f t="shared" si="159"/>
        <v>2.0596803660397913E-3</v>
      </c>
      <c r="H206" s="2">
        <f t="shared" si="163"/>
        <v>-0.29621568680955207</v>
      </c>
      <c r="I206" s="2">
        <f t="shared" si="160"/>
        <v>0.94672548918189381</v>
      </c>
      <c r="J206" s="4">
        <f t="shared" si="164"/>
        <v>0.7</v>
      </c>
      <c r="K206" s="6">
        <v>2.8436973779167663E-4</v>
      </c>
      <c r="L206" s="9">
        <f t="shared" si="165"/>
        <v>231949173943228.81</v>
      </c>
      <c r="M206" s="6">
        <v>1680000000000000</v>
      </c>
      <c r="N206" s="2">
        <f t="shared" si="161"/>
        <v>8.1300813008130088</v>
      </c>
      <c r="O206" s="33">
        <v>1230</v>
      </c>
      <c r="P206" s="13"/>
      <c r="Q206" s="6">
        <f t="shared" si="162"/>
        <v>448223812736.46631</v>
      </c>
    </row>
    <row r="207" spans="4:17" ht="15.75">
      <c r="D207" s="2">
        <f t="shared" si="156"/>
        <v>0.89228192947689744</v>
      </c>
      <c r="E207" s="2">
        <f>LOG(J207)/(1+(F207/(I207-0.14*F207))^2)</f>
        <v>-4.9497902271132467E-2</v>
      </c>
      <c r="F207" s="2">
        <f>LOG(G207)+H207</f>
        <v>-1.7362356934885621</v>
      </c>
      <c r="G207" s="6">
        <f>M207*K207/L207</f>
        <v>3.6306132920924959E-2</v>
      </c>
      <c r="H207" s="2">
        <f>-0.4-0.67*LOG(J207)</f>
        <v>-0.29621568680955207</v>
      </c>
      <c r="I207" s="2">
        <f>0.75-1.27*LOG(J207)</f>
        <v>0.94672548918189381</v>
      </c>
      <c r="J207" s="4">
        <f t="shared" si="164"/>
        <v>0.7</v>
      </c>
      <c r="K207" s="6">
        <f t="shared" ref="K207:K208" si="166">$P$195*101325/760/8.314/O207/1000000</f>
        <v>7.3123646860716865E-3</v>
      </c>
      <c r="L207" s="9">
        <f t="shared" si="165"/>
        <v>241340417502550.47</v>
      </c>
      <c r="M207" s="6">
        <f>$B$7*O207^$B$8*EXP(-$B$9/1.987/O207)</f>
        <v>1198263168374097.5</v>
      </c>
      <c r="N207" s="2">
        <f>10000/O207</f>
        <v>6.666666666666667</v>
      </c>
      <c r="O207" s="12">
        <v>1500</v>
      </c>
      <c r="P207" s="13"/>
      <c r="Q207" s="6">
        <f>L207/(1+L207/M207/K207)*D207</f>
        <v>7544389160239.0898</v>
      </c>
    </row>
    <row r="208" spans="4:17" ht="15.75">
      <c r="D208" s="2">
        <f t="shared" si="156"/>
        <v>0.90331605116082536</v>
      </c>
      <c r="E208" s="2">
        <f>LOG(J208)/(1+(F208/(I208-0.14*F208))^2)</f>
        <v>-4.4160272654060591E-2</v>
      </c>
      <c r="F208" s="2">
        <f>LOG(G208)+H208</f>
        <v>-1.9262706840028621</v>
      </c>
      <c r="G208" s="6">
        <f>M208*K208/L208</f>
        <v>2.3439319710179176E-2</v>
      </c>
      <c r="H208" s="2">
        <f>-0.4-0.67*LOG(J208)</f>
        <v>-0.29621568680955207</v>
      </c>
      <c r="I208" s="2">
        <f>0.75-1.27*LOG(J208)</f>
        <v>0.94672548918189381</v>
      </c>
      <c r="J208" s="4">
        <f t="shared" si="164"/>
        <v>0.7</v>
      </c>
      <c r="K208" s="6">
        <f t="shared" si="166"/>
        <v>6.0936372383930716E-3</v>
      </c>
      <c r="L208" s="9">
        <f t="shared" si="165"/>
        <v>250303146415970.06</v>
      </c>
      <c r="M208" s="6">
        <f>$B$7*O208^$B$8*EXP(-$B$9/1.987/O208)</f>
        <v>962796970640618</v>
      </c>
      <c r="N208" s="2">
        <f>10000/O208</f>
        <v>5.5555555555555554</v>
      </c>
      <c r="O208" s="12">
        <v>1800</v>
      </c>
      <c r="P208" s="13"/>
      <c r="Q208" s="6">
        <f>L208/(1+L208/M208/K208)*D208</f>
        <v>5178320670408.1621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7"/>
  <sheetViews>
    <sheetView workbookViewId="0">
      <selection activeCell="B4" sqref="B4:B6"/>
    </sheetView>
  </sheetViews>
  <sheetFormatPr defaultColWidth="11.5703125" defaultRowHeight="12.75"/>
  <cols>
    <col min="2" max="2" width="14.28515625" customWidth="1"/>
    <col min="3" max="3" width="12.42578125" bestFit="1" customWidth="1"/>
    <col min="4" max="4" width="6.7109375" customWidth="1"/>
    <col min="5" max="5" width="7.140625" customWidth="1"/>
    <col min="6" max="6" width="8.85546875" bestFit="1" customWidth="1"/>
    <col min="7" max="7" width="9.7109375" customWidth="1"/>
    <col min="8" max="8" width="5.140625" bestFit="1" customWidth="1"/>
    <col min="9" max="9" width="7" bestFit="1" customWidth="1"/>
    <col min="10" max="10" width="8.42578125" bestFit="1" customWidth="1"/>
    <col min="11" max="11" width="9" bestFit="1" customWidth="1"/>
    <col min="12" max="12" width="9.7109375" customWidth="1"/>
    <col min="13" max="13" width="9.140625" customWidth="1"/>
    <col min="14" max="14" width="7.5703125" customWidth="1"/>
    <col min="15" max="15" width="6.140625" customWidth="1"/>
    <col min="16" max="16" width="10.140625" bestFit="1" customWidth="1"/>
    <col min="17" max="17" width="9" bestFit="1" customWidth="1"/>
    <col min="18" max="18" width="12.42578125" bestFit="1" customWidth="1"/>
    <col min="20" max="20" width="7" customWidth="1"/>
    <col min="21" max="21" width="9.85546875" customWidth="1"/>
    <col min="22" max="22" width="9.42578125" customWidth="1"/>
    <col min="23" max="23" width="10" customWidth="1"/>
    <col min="24" max="24" width="12.42578125" bestFit="1" customWidth="1"/>
    <col min="25" max="25" width="9.5703125" bestFit="1" customWidth="1"/>
    <col min="26" max="26" width="8.28515625" bestFit="1" customWidth="1"/>
  </cols>
  <sheetData>
    <row r="1" spans="1:35">
      <c r="A1" t="s">
        <v>0</v>
      </c>
    </row>
    <row r="2" spans="1:35">
      <c r="E2" s="6"/>
    </row>
    <row r="3" spans="1:35">
      <c r="S3" s="6"/>
    </row>
    <row r="4" spans="1:35">
      <c r="A4" t="s">
        <v>1</v>
      </c>
      <c r="B4" s="6">
        <v>55900000000000</v>
      </c>
      <c r="C4" s="1"/>
      <c r="D4" s="1"/>
      <c r="E4" s="1"/>
      <c r="F4" s="1"/>
    </row>
    <row r="5" spans="1:35">
      <c r="A5" t="s">
        <v>2</v>
      </c>
      <c r="B5" s="10">
        <v>0.2</v>
      </c>
      <c r="Q5" t="s">
        <v>20</v>
      </c>
      <c r="S5" s="14"/>
      <c r="T5" s="14"/>
      <c r="U5" s="14"/>
    </row>
    <row r="6" spans="1:35" ht="15.75">
      <c r="A6" t="s">
        <v>3</v>
      </c>
      <c r="B6" s="10">
        <v>0</v>
      </c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>
        <f>760*2.4</f>
        <v>1824</v>
      </c>
      <c r="Q6" t="s">
        <v>16</v>
      </c>
      <c r="S6" s="15"/>
      <c r="T6" s="18"/>
      <c r="U6" s="17"/>
    </row>
    <row r="7" spans="1:35" ht="15.75">
      <c r="A7" t="s">
        <v>1</v>
      </c>
      <c r="B7" s="6">
        <v>6.8E+18</v>
      </c>
      <c r="C7">
        <f>2.6E-32*6.02E+23*6.02E+23*300^1.2</f>
        <v>8.8452851113921085E+18</v>
      </c>
      <c r="D7" s="3">
        <f>10^E7</f>
        <v>0.93286381858985867</v>
      </c>
      <c r="E7" s="3">
        <f t="shared" ref="E7:E17" si="0">LOG(J7)/(1+(F7/(I7-0.14*F7))^2)</f>
        <v>-3.0181750842620602E-2</v>
      </c>
      <c r="F7" s="3">
        <f t="shared" ref="F7:F17" si="1">LOG(G7)+H7</f>
        <v>-2.6900917593617879</v>
      </c>
      <c r="G7" s="4">
        <f t="shared" ref="G7:G17" si="2">M7*K7/L7</f>
        <v>4.0376059102606113E-3</v>
      </c>
      <c r="H7" s="3">
        <f>-0.4-0.67*LOG(J7)</f>
        <v>-0.29621568680955207</v>
      </c>
      <c r="I7" s="3">
        <f t="shared" ref="I7:I17" si="3">0.75-1.27*LOG(J7)</f>
        <v>0.94672548918189381</v>
      </c>
      <c r="J7" s="4">
        <f>(1-$B$10)*EXP(-O7/$B$11)+$B$10*EXP(-O7/$B$12)+EXP(-B$13/O7)</f>
        <v>0.7</v>
      </c>
      <c r="K7" s="4">
        <f t="shared" ref="K7:K19" si="4">$P$6*101325/760/8.314/O7/1000000</f>
        <v>9.7498195814289148E-5</v>
      </c>
      <c r="L7" s="9">
        <f>B$4*O7^B$5*EXP(-B$6/1.987/O7)</f>
        <v>174918626629333.09</v>
      </c>
      <c r="M7" s="4">
        <f t="shared" ref="M7:M17" si="5">$B$7*O7^$B$8*EXP(-$B$9/1.987/O7)</f>
        <v>7243749228329386</v>
      </c>
      <c r="N7" s="3">
        <f t="shared" ref="N7:N17" si="6">10000/O7</f>
        <v>33.333333333333336</v>
      </c>
      <c r="O7" s="12">
        <v>300</v>
      </c>
      <c r="P7" s="13"/>
      <c r="Q7" s="20">
        <f t="shared" ref="Q7:Q17" si="7">L7/(1+L7/M7/K7)*D7</f>
        <v>656187957652.02136</v>
      </c>
      <c r="R7" s="20"/>
      <c r="S7" s="6"/>
      <c r="T7" s="19"/>
      <c r="U7" s="17"/>
      <c r="V7" s="5"/>
      <c r="W7" s="9"/>
      <c r="X7" s="4"/>
      <c r="Y7" s="6"/>
      <c r="AI7" s="6"/>
    </row>
    <row r="8" spans="1:35" ht="15.75">
      <c r="A8" t="s">
        <v>2</v>
      </c>
      <c r="B8" s="11">
        <v>-1.2</v>
      </c>
      <c r="D8" s="3">
        <f>10^E8</f>
        <v>0.94031485888189614</v>
      </c>
      <c r="E8" s="3">
        <f t="shared" si="0"/>
        <v>-2.672670110360767E-2</v>
      </c>
      <c r="F8" s="3">
        <f t="shared" si="1"/>
        <v>-2.9899447272217077</v>
      </c>
      <c r="G8" s="4">
        <f t="shared" si="2"/>
        <v>2.0242817493549259E-3</v>
      </c>
      <c r="H8" s="3">
        <f t="shared" ref="H8:H17" si="8">-0.4-0.67*LOG(J8)</f>
        <v>-0.29621568680955207</v>
      </c>
      <c r="I8" s="3">
        <f t="shared" si="3"/>
        <v>0.94672548918189381</v>
      </c>
      <c r="J8" s="4">
        <f t="shared" ref="J8:J19" si="9">(1-$B$10)*EXP(-O8/$B$11)+$B$10*EXP(-O8/$B$12)+EXP(-B$13/O8)</f>
        <v>0.7</v>
      </c>
      <c r="K8" s="4">
        <f t="shared" si="4"/>
        <v>7.3123646860716858E-5</v>
      </c>
      <c r="L8" s="9">
        <f t="shared" ref="L8:L19" si="10">B$4*O8^B$5*EXP(-B$6/1.987/O8)</f>
        <v>185277979569305.25</v>
      </c>
      <c r="M8" s="4">
        <f t="shared" si="5"/>
        <v>5129049886063391</v>
      </c>
      <c r="N8" s="3">
        <f t="shared" si="6"/>
        <v>25</v>
      </c>
      <c r="O8" s="12">
        <v>400</v>
      </c>
      <c r="P8" s="13"/>
      <c r="Q8" s="4">
        <f t="shared" si="7"/>
        <v>351957171509.92938</v>
      </c>
      <c r="R8" s="4"/>
      <c r="T8" s="19"/>
      <c r="U8" s="17"/>
      <c r="V8" s="5"/>
      <c r="W8" s="9"/>
      <c r="X8" s="4"/>
      <c r="Y8" s="6"/>
      <c r="AI8" s="6"/>
    </row>
    <row r="9" spans="1:35" ht="15.75">
      <c r="A9" t="s">
        <v>3</v>
      </c>
      <c r="B9" s="10">
        <v>0</v>
      </c>
      <c r="C9" s="1"/>
      <c r="D9" s="3">
        <f t="shared" ref="D9:D17" si="11">10^E9</f>
        <v>0.94507974145923646</v>
      </c>
      <c r="E9" s="3">
        <f t="shared" si="0"/>
        <v>-2.4531546184207196E-2</v>
      </c>
      <c r="F9" s="3">
        <f t="shared" si="1"/>
        <v>-3.2225287584410429</v>
      </c>
      <c r="G9" s="4">
        <f t="shared" si="2"/>
        <v>1.1849142662454959E-3</v>
      </c>
      <c r="H9" s="3">
        <f t="shared" si="8"/>
        <v>-0.29621568680955207</v>
      </c>
      <c r="I9" s="3">
        <f t="shared" si="3"/>
        <v>0.94672548918189381</v>
      </c>
      <c r="J9" s="4">
        <f t="shared" si="9"/>
        <v>0.7</v>
      </c>
      <c r="K9" s="4">
        <f t="shared" si="4"/>
        <v>5.8498917488573493E-5</v>
      </c>
      <c r="L9" s="9">
        <f t="shared" si="10"/>
        <v>193733983661863.44</v>
      </c>
      <c r="M9" s="4">
        <f t="shared" si="5"/>
        <v>3924143744067624</v>
      </c>
      <c r="N9" s="3">
        <f t="shared" si="6"/>
        <v>20</v>
      </c>
      <c r="O9" s="12">
        <v>500</v>
      </c>
      <c r="P9" s="13"/>
      <c r="Q9" s="20">
        <f t="shared" si="7"/>
        <v>216694003723.47427</v>
      </c>
      <c r="R9" s="20"/>
      <c r="S9" s="6"/>
      <c r="T9" s="19"/>
      <c r="U9" s="17"/>
      <c r="V9" s="5"/>
      <c r="W9" s="9"/>
      <c r="X9" s="4"/>
      <c r="Y9" s="6"/>
      <c r="AI9" s="6"/>
    </row>
    <row r="10" spans="1:35" ht="15.75">
      <c r="A10" t="s">
        <v>1</v>
      </c>
      <c r="B10" s="11">
        <v>0.7</v>
      </c>
      <c r="D10" s="3">
        <f t="shared" si="11"/>
        <v>0.94845023834319531</v>
      </c>
      <c r="E10" s="3">
        <f t="shared" si="0"/>
        <v>-2.2985449993959337E-2</v>
      </c>
      <c r="F10" s="3">
        <f t="shared" si="1"/>
        <v>-3.4125637489553431</v>
      </c>
      <c r="G10" s="4">
        <f t="shared" si="2"/>
        <v>7.6498327090278751E-4</v>
      </c>
      <c r="H10" s="3">
        <f t="shared" si="8"/>
        <v>-0.29621568680955207</v>
      </c>
      <c r="I10" s="3">
        <f t="shared" si="3"/>
        <v>0.94672548918189381</v>
      </c>
      <c r="J10" s="4">
        <f t="shared" si="9"/>
        <v>0.7</v>
      </c>
      <c r="K10" s="4">
        <f t="shared" si="4"/>
        <v>4.8749097907144574E-5</v>
      </c>
      <c r="L10" s="9">
        <f t="shared" si="10"/>
        <v>200928738667455.53</v>
      </c>
      <c r="M10" s="4">
        <f t="shared" si="5"/>
        <v>3153024985549005</v>
      </c>
      <c r="N10" s="3">
        <f t="shared" si="6"/>
        <v>16.666666666666668</v>
      </c>
      <c r="O10" s="12">
        <v>600</v>
      </c>
      <c r="P10" s="13"/>
      <c r="Q10" s="4">
        <f t="shared" si="7"/>
        <v>145672121395.3616</v>
      </c>
      <c r="R10" s="4"/>
      <c r="S10" s="6"/>
      <c r="T10" s="14"/>
      <c r="U10" s="17"/>
      <c r="V10" s="5"/>
      <c r="W10" s="9"/>
      <c r="X10" s="4"/>
      <c r="Y10" s="6"/>
      <c r="AI10" s="6"/>
    </row>
    <row r="11" spans="1:35" ht="15.75">
      <c r="A11" t="s">
        <v>18</v>
      </c>
      <c r="B11" s="10">
        <v>1E-4</v>
      </c>
      <c r="D11" s="3">
        <f t="shared" si="11"/>
        <v>0.9509927042523415</v>
      </c>
      <c r="E11" s="3">
        <f t="shared" si="0"/>
        <v>-2.1822814834513857E-2</v>
      </c>
      <c r="F11" s="3">
        <f t="shared" si="1"/>
        <v>-3.5732360440688145</v>
      </c>
      <c r="G11" s="4">
        <f t="shared" si="2"/>
        <v>5.2842048184298298E-4</v>
      </c>
      <c r="H11" s="3">
        <f t="shared" si="8"/>
        <v>-0.29621568680955207</v>
      </c>
      <c r="I11" s="3">
        <f t="shared" si="3"/>
        <v>0.94672548918189381</v>
      </c>
      <c r="J11" s="4">
        <f t="shared" si="9"/>
        <v>0.7</v>
      </c>
      <c r="K11" s="4">
        <f t="shared" si="4"/>
        <v>4.1784941063266781E-5</v>
      </c>
      <c r="L11" s="9">
        <f t="shared" si="10"/>
        <v>207219879055280.06</v>
      </c>
      <c r="M11" s="4">
        <f t="shared" si="5"/>
        <v>2620542845137496.5</v>
      </c>
      <c r="N11" s="3">
        <f t="shared" si="6"/>
        <v>14.285714285714286</v>
      </c>
      <c r="O11" s="12">
        <v>700</v>
      </c>
      <c r="P11" s="13"/>
      <c r="Q11" s="4">
        <f t="shared" si="7"/>
        <v>104077970339.3071</v>
      </c>
      <c r="R11" s="4"/>
      <c r="S11" s="16"/>
      <c r="T11" s="14"/>
      <c r="U11" s="17"/>
      <c r="V11" s="5"/>
      <c r="W11" s="9"/>
      <c r="X11" s="4"/>
      <c r="Y11" s="6"/>
      <c r="AI11" s="6"/>
    </row>
    <row r="12" spans="1:35" ht="15.75">
      <c r="A12" t="s">
        <v>8</v>
      </c>
      <c r="B12" s="6">
        <v>1E+30</v>
      </c>
      <c r="D12" s="3">
        <f t="shared" si="11"/>
        <v>0.95299784066680671</v>
      </c>
      <c r="E12" s="3">
        <f t="shared" si="0"/>
        <v>-2.0908083398979829E-2</v>
      </c>
      <c r="F12" s="3">
        <f t="shared" si="1"/>
        <v>-3.7124167168152624</v>
      </c>
      <c r="G12" s="4">
        <f t="shared" si="2"/>
        <v>3.8352967284773908E-4</v>
      </c>
      <c r="H12" s="3">
        <f t="shared" si="8"/>
        <v>-0.29621568680955207</v>
      </c>
      <c r="I12" s="3">
        <f t="shared" si="3"/>
        <v>0.94672548918189381</v>
      </c>
      <c r="J12" s="4">
        <f t="shared" si="9"/>
        <v>0.7</v>
      </c>
      <c r="K12" s="4">
        <f t="shared" si="4"/>
        <v>3.6561823430358429E-5</v>
      </c>
      <c r="L12" s="9">
        <f t="shared" si="10"/>
        <v>212828510348435.22</v>
      </c>
      <c r="M12" s="4">
        <f t="shared" si="5"/>
        <v>2232548633743205</v>
      </c>
      <c r="N12" s="3">
        <f t="shared" si="6"/>
        <v>12.5</v>
      </c>
      <c r="O12" s="12">
        <v>800</v>
      </c>
      <c r="P12" s="13"/>
      <c r="Q12" s="4">
        <f t="shared" si="7"/>
        <v>77759625264.641052</v>
      </c>
      <c r="R12" s="4"/>
      <c r="S12" s="17"/>
      <c r="T12" s="14"/>
      <c r="U12" s="17"/>
      <c r="V12" s="5"/>
      <c r="W12" s="9"/>
      <c r="X12" s="4"/>
      <c r="Y12" s="6"/>
      <c r="AI12" s="6"/>
    </row>
    <row r="13" spans="1:35" ht="15.75">
      <c r="A13" t="s">
        <v>19</v>
      </c>
      <c r="B13" s="6">
        <v>1E+30</v>
      </c>
      <c r="D13" s="3">
        <f t="shared" si="11"/>
        <v>0.95463160880285758</v>
      </c>
      <c r="E13" s="3">
        <f t="shared" si="0"/>
        <v>-2.0164189809087633E-2</v>
      </c>
      <c r="F13" s="3">
        <f t="shared" si="1"/>
        <v>-3.8351827706889781</v>
      </c>
      <c r="G13" s="4">
        <f t="shared" si="2"/>
        <v>2.8908989815652487E-4</v>
      </c>
      <c r="H13" s="3">
        <f t="shared" si="8"/>
        <v>-0.29621568680955207</v>
      </c>
      <c r="I13" s="3">
        <f t="shared" si="3"/>
        <v>0.94672548918189381</v>
      </c>
      <c r="J13" s="4">
        <f t="shared" si="9"/>
        <v>0.7</v>
      </c>
      <c r="K13" s="4">
        <f t="shared" si="4"/>
        <v>3.2499398604763049E-5</v>
      </c>
      <c r="L13" s="9">
        <f t="shared" si="10"/>
        <v>217901545107214.97</v>
      </c>
      <c r="M13" s="4">
        <f t="shared" si="5"/>
        <v>1938286189516197.2</v>
      </c>
      <c r="N13" s="3">
        <f t="shared" si="6"/>
        <v>11.111111111111111</v>
      </c>
      <c r="O13" s="12">
        <v>900</v>
      </c>
      <c r="P13" s="13"/>
      <c r="Q13" s="4">
        <f t="shared" si="7"/>
        <v>60117858804.178947</v>
      </c>
      <c r="R13" s="4"/>
      <c r="S13" s="6"/>
      <c r="U13" s="17"/>
      <c r="V13" s="5"/>
      <c r="W13" s="9"/>
      <c r="X13" s="4"/>
      <c r="Y13" s="6"/>
      <c r="AI13" s="6"/>
    </row>
    <row r="14" spans="1:35" ht="15.75">
      <c r="D14" s="3">
        <f t="shared" si="11"/>
        <v>0.95599633124582151</v>
      </c>
      <c r="E14" s="3">
        <f t="shared" si="0"/>
        <v>-1.9543774379498776E-2</v>
      </c>
      <c r="F14" s="3">
        <f t="shared" si="1"/>
        <v>-3.9450007480345981</v>
      </c>
      <c r="G14" s="4">
        <f t="shared" si="2"/>
        <v>2.2449927290535131E-4</v>
      </c>
      <c r="H14" s="3">
        <f t="shared" si="8"/>
        <v>-0.29621568680955207</v>
      </c>
      <c r="I14" s="3">
        <f t="shared" si="3"/>
        <v>0.94672548918189381</v>
      </c>
      <c r="J14" s="4">
        <f t="shared" si="9"/>
        <v>0.7</v>
      </c>
      <c r="K14" s="4">
        <f t="shared" si="4"/>
        <v>2.9249458744286746E-5</v>
      </c>
      <c r="L14" s="9">
        <f t="shared" si="10"/>
        <v>222541908339404.97</v>
      </c>
      <c r="M14" s="4">
        <f t="shared" si="5"/>
        <v>1708082773426515.5</v>
      </c>
      <c r="N14" s="3">
        <f t="shared" si="6"/>
        <v>10</v>
      </c>
      <c r="O14" s="12">
        <v>1000</v>
      </c>
      <c r="P14" s="13"/>
      <c r="Q14" s="4">
        <f t="shared" si="7"/>
        <v>47751331330.241844</v>
      </c>
      <c r="R14" s="4"/>
      <c r="S14" s="6"/>
      <c r="U14" s="17"/>
      <c r="V14" s="5"/>
      <c r="W14" s="9"/>
      <c r="X14" s="4"/>
      <c r="Y14" s="6"/>
      <c r="AI14" s="6"/>
    </row>
    <row r="15" spans="1:35" ht="15.75">
      <c r="D15" s="3">
        <f t="shared" si="11"/>
        <v>0.95715888258671189</v>
      </c>
      <c r="E15" s="3">
        <f t="shared" si="0"/>
        <v>-1.9015965981339006E-2</v>
      </c>
      <c r="F15" s="3">
        <f t="shared" si="1"/>
        <v>-4.0443431924143383</v>
      </c>
      <c r="G15" s="4">
        <f t="shared" si="2"/>
        <v>1.7859631524770657E-4</v>
      </c>
      <c r="H15" s="3">
        <f t="shared" si="8"/>
        <v>-0.29621568680955207</v>
      </c>
      <c r="I15" s="3">
        <f t="shared" si="3"/>
        <v>0.94672548918189381</v>
      </c>
      <c r="J15" s="4">
        <f t="shared" si="9"/>
        <v>0.7</v>
      </c>
      <c r="K15" s="4">
        <f t="shared" si="4"/>
        <v>2.6590417040260677E-5</v>
      </c>
      <c r="L15" s="9">
        <f t="shared" si="10"/>
        <v>226824699879569.84</v>
      </c>
      <c r="M15" s="4">
        <f t="shared" si="5"/>
        <v>1523483273854698.2</v>
      </c>
      <c r="N15" s="3">
        <f t="shared" si="6"/>
        <v>9.0909090909090917</v>
      </c>
      <c r="O15" s="12">
        <v>1100</v>
      </c>
      <c r="P15" s="13"/>
      <c r="Q15" s="4">
        <f t="shared" si="7"/>
        <v>38767635800.132492</v>
      </c>
      <c r="R15" s="4"/>
      <c r="S15" s="6"/>
      <c r="U15" s="17"/>
      <c r="V15" s="5"/>
      <c r="W15" s="9"/>
      <c r="X15" s="4"/>
      <c r="Y15" s="6"/>
      <c r="AI15" s="6"/>
    </row>
    <row r="16" spans="1:35" ht="15.75">
      <c r="D16" s="3">
        <f t="shared" si="11"/>
        <v>0.95816501679390031</v>
      </c>
      <c r="E16" s="3">
        <f t="shared" si="0"/>
        <v>-1.8559689552511572E-2</v>
      </c>
      <c r="F16" s="3">
        <f t="shared" si="1"/>
        <v>-4.1350357385488987</v>
      </c>
      <c r="G16" s="4">
        <f t="shared" si="2"/>
        <v>1.4493722710133325E-4</v>
      </c>
      <c r="H16" s="3">
        <f t="shared" si="8"/>
        <v>-0.29621568680955207</v>
      </c>
      <c r="I16" s="3">
        <f t="shared" si="3"/>
        <v>0.94672548918189381</v>
      </c>
      <c r="J16" s="4">
        <f t="shared" si="9"/>
        <v>0.7</v>
      </c>
      <c r="K16" s="4">
        <f t="shared" si="4"/>
        <v>2.4374548953572287E-5</v>
      </c>
      <c r="L16" s="9">
        <f t="shared" si="10"/>
        <v>230806511578935.31</v>
      </c>
      <c r="M16" s="4">
        <f t="shared" si="5"/>
        <v>1372433838628218.7</v>
      </c>
      <c r="N16" s="3">
        <f t="shared" si="6"/>
        <v>8.3333333333333339</v>
      </c>
      <c r="O16" s="12">
        <v>1200</v>
      </c>
      <c r="P16" s="13"/>
      <c r="Q16" s="4">
        <f t="shared" si="7"/>
        <v>32048327863.432976</v>
      </c>
      <c r="R16" s="4"/>
      <c r="S16" s="6"/>
      <c r="U16" s="17"/>
      <c r="V16" s="5"/>
      <c r="W16" s="9"/>
      <c r="X16" s="4"/>
      <c r="Y16" s="6"/>
      <c r="AI16" s="6"/>
    </row>
    <row r="17" spans="1:35" ht="15.75">
      <c r="A17" t="s">
        <v>17</v>
      </c>
      <c r="D17" s="3">
        <f t="shared" si="11"/>
        <v>0.95904721431730611</v>
      </c>
      <c r="E17" s="3">
        <f t="shared" si="0"/>
        <v>-1.8160011794162715E-2</v>
      </c>
      <c r="F17" s="3">
        <f t="shared" si="1"/>
        <v>-4.2184647935710062</v>
      </c>
      <c r="G17" s="4">
        <f t="shared" si="2"/>
        <v>1.1960542903148593E-4</v>
      </c>
      <c r="H17" s="3">
        <f t="shared" si="8"/>
        <v>-0.29621568680955207</v>
      </c>
      <c r="I17" s="3">
        <f t="shared" si="3"/>
        <v>0.94672548918189381</v>
      </c>
      <c r="J17" s="4">
        <f t="shared" si="9"/>
        <v>0.7</v>
      </c>
      <c r="K17" s="4">
        <f t="shared" si="4"/>
        <v>2.2499583649451342E-5</v>
      </c>
      <c r="L17" s="9">
        <f t="shared" si="10"/>
        <v>234531120441019.87</v>
      </c>
      <c r="M17" s="4">
        <f t="shared" si="5"/>
        <v>1246742860606992.5</v>
      </c>
      <c r="N17" s="3">
        <f t="shared" si="6"/>
        <v>7.6923076923076925</v>
      </c>
      <c r="O17" s="12">
        <v>1300</v>
      </c>
      <c r="P17" s="13"/>
      <c r="Q17" s="4">
        <f t="shared" si="7"/>
        <v>26899203402.309673</v>
      </c>
      <c r="R17" s="4"/>
      <c r="S17" s="6"/>
      <c r="U17" s="17"/>
      <c r="V17" s="5"/>
      <c r="W17" s="9"/>
      <c r="X17" s="4"/>
      <c r="Y17" s="6"/>
      <c r="AI17" s="6"/>
    </row>
    <row r="18" spans="1:35" ht="15.75">
      <c r="A18" s="6"/>
      <c r="D18" s="3">
        <f>10^E18</f>
        <v>0.9605289494391952</v>
      </c>
      <c r="E18" s="3">
        <f>LOG(J18)/(1+(F18/(I18-0.14*F18))^2)</f>
        <v>-1.7489541377787923E-2</v>
      </c>
      <c r="F18" s="3">
        <f>LOG(G18)+H18</f>
        <v>-4.3676197697682335</v>
      </c>
      <c r="G18" s="4">
        <f>M18*K18/L18</f>
        <v>8.4839073492195774E-5</v>
      </c>
      <c r="H18" s="3">
        <f>-0.4-0.67*LOG(J18)</f>
        <v>-0.29621568680955207</v>
      </c>
      <c r="I18" s="3">
        <f>0.75-1.27*LOG(J18)</f>
        <v>0.94672548918189381</v>
      </c>
      <c r="J18" s="4">
        <f t="shared" si="9"/>
        <v>0.7</v>
      </c>
      <c r="K18" s="4">
        <f t="shared" si="4"/>
        <v>1.9499639162857828E-5</v>
      </c>
      <c r="L18" s="9">
        <f t="shared" si="10"/>
        <v>241340417502550.47</v>
      </c>
      <c r="M18" s="4">
        <f>$B$7*O18^$B$8*EXP(-$B$9/1.987/O18)</f>
        <v>1050024425894827.7</v>
      </c>
      <c r="N18" s="3">
        <f>10000/O18</f>
        <v>6.666666666666667</v>
      </c>
      <c r="O18" s="12">
        <v>1500</v>
      </c>
      <c r="P18" s="13"/>
      <c r="Q18" s="4">
        <f>L18/(1+L18/M18/K18)*D18</f>
        <v>19665255429.696266</v>
      </c>
      <c r="R18" s="4"/>
      <c r="S18" s="6"/>
      <c r="U18" s="17"/>
      <c r="V18" s="5"/>
      <c r="W18" s="9"/>
      <c r="X18" s="4"/>
      <c r="Y18" s="6"/>
    </row>
    <row r="19" spans="1:35" ht="15.75">
      <c r="D19" s="3">
        <f>10^E19</f>
        <v>0.96225682651435196</v>
      </c>
      <c r="E19" s="3">
        <f>LOG(J19)/(1+(F19/(I19-0.14*F19))^2)</f>
        <v>-1.6708999218045504E-2</v>
      </c>
      <c r="F19" s="3">
        <f>LOG(G19)+H19</f>
        <v>-4.5576547602825332</v>
      </c>
      <c r="G19" s="4">
        <f>M19*K19/L19</f>
        <v>5.4772293480831058E-5</v>
      </c>
      <c r="H19" s="3">
        <f>-0.4-0.67*LOG(J19)</f>
        <v>-0.29621568680955207</v>
      </c>
      <c r="I19" s="3">
        <f>0.75-1.27*LOG(J19)</f>
        <v>0.94672548918189381</v>
      </c>
      <c r="J19" s="4">
        <f t="shared" si="9"/>
        <v>0.7</v>
      </c>
      <c r="K19" s="4">
        <f t="shared" si="4"/>
        <v>1.6249699302381525E-5</v>
      </c>
      <c r="L19" s="9">
        <f t="shared" si="10"/>
        <v>250303146415970.06</v>
      </c>
      <c r="M19" s="4">
        <f>$B$7*O19^$B$8*EXP(-$B$9/1.987/O19)</f>
        <v>843688067056211.62</v>
      </c>
      <c r="N19" s="3">
        <f>10000/O19</f>
        <v>5.5555555555555554</v>
      </c>
      <c r="O19" s="12">
        <v>1800</v>
      </c>
      <c r="P19" s="13"/>
      <c r="Q19" s="4">
        <f>L19/(1+L19/M19/K19)*D19</f>
        <v>13191508133.176683</v>
      </c>
      <c r="R19" s="4"/>
      <c r="S19" s="6"/>
      <c r="U19" s="17"/>
      <c r="V19" s="5"/>
      <c r="W19" s="9"/>
      <c r="X19" s="4"/>
      <c r="Y19" s="6"/>
      <c r="AI19" s="6"/>
    </row>
    <row r="20" spans="1:35">
      <c r="D20" s="2" t="s">
        <v>4</v>
      </c>
      <c r="E20" s="2" t="s">
        <v>5</v>
      </c>
      <c r="F20" t="s">
        <v>6</v>
      </c>
      <c r="G20" s="6" t="s">
        <v>7</v>
      </c>
      <c r="H20" s="2" t="s">
        <v>8</v>
      </c>
      <c r="I20" t="s">
        <v>9</v>
      </c>
      <c r="J20" t="s">
        <v>10</v>
      </c>
      <c r="K20" s="6" t="s">
        <v>11</v>
      </c>
      <c r="L20" s="6" t="s">
        <v>12</v>
      </c>
      <c r="M20" s="6" t="s">
        <v>13</v>
      </c>
      <c r="N20" s="2" t="s">
        <v>14</v>
      </c>
      <c r="P20">
        <f>760*5</f>
        <v>3800</v>
      </c>
      <c r="Q20" s="6" t="s">
        <v>16</v>
      </c>
      <c r="S20" s="6"/>
      <c r="Y20" s="6"/>
      <c r="AI20" s="6"/>
    </row>
    <row r="21" spans="1:35" ht="15.75">
      <c r="D21" s="7">
        <f t="shared" ref="D21:D31" si="12">10^E21</f>
        <v>0.92279401639236081</v>
      </c>
      <c r="E21" s="7">
        <f t="shared" ref="E21:E31" si="13">LOG(J21)/(1+(F21/(I21-0.14*F21))^2)</f>
        <v>-3.4895230206649218E-2</v>
      </c>
      <c r="F21" s="7">
        <f t="shared" ref="F21:F31" si="14">LOG(G21)+H21</f>
        <v>-2.3713329967373751</v>
      </c>
      <c r="G21" s="8">
        <f t="shared" ref="G21:G31" si="15">M21*K21/L21</f>
        <v>8.4116789797096074E-3</v>
      </c>
      <c r="H21" s="7">
        <f>-0.4-0.67*LOG(J21)</f>
        <v>-0.29621568680955207</v>
      </c>
      <c r="I21" s="7">
        <f t="shared" ref="I21:I31" si="16">0.75-1.27*LOG(J21)</f>
        <v>0.94672548918189381</v>
      </c>
      <c r="J21" s="4">
        <f>(1-$B$10)*EXP(-O21/$B$11)+$B$10*EXP(-O21/$B$12)+EXP(-B$13/O21)</f>
        <v>0.7</v>
      </c>
      <c r="K21" s="8">
        <f t="shared" ref="K21:K33" si="17">$P$20*101325/760/8.314/O21/1000000</f>
        <v>2.0312124127976907E-4</v>
      </c>
      <c r="L21" s="9">
        <f>B$4*O21^B$5*EXP(-B$6/1.987/O21)</f>
        <v>174918626629333.09</v>
      </c>
      <c r="M21" s="8">
        <f t="shared" ref="M21:M31" si="18">$B$7*O21^$B$8*EXP(-$B$9/1.987/O21)</f>
        <v>7243749228329386</v>
      </c>
      <c r="N21" s="7">
        <f t="shared" ref="N21:N31" si="19">10000/O21</f>
        <v>33.333333333333336</v>
      </c>
      <c r="O21" s="12">
        <v>300</v>
      </c>
      <c r="P21" s="13"/>
      <c r="Q21" s="8">
        <f t="shared" ref="Q21:Q31" si="20">L21/(1+L21/M21/K21)*D21</f>
        <v>1346435804342.9253</v>
      </c>
      <c r="R21" s="8"/>
      <c r="S21" s="6"/>
      <c r="AI21" s="6"/>
    </row>
    <row r="22" spans="1:35" ht="15.75">
      <c r="D22" s="7">
        <f t="shared" si="12"/>
        <v>0.93233507023401174</v>
      </c>
      <c r="E22" s="7">
        <f t="shared" si="13"/>
        <v>-3.0427979275188123E-2</v>
      </c>
      <c r="F22" s="7">
        <f t="shared" si="14"/>
        <v>-2.6711859645972948</v>
      </c>
      <c r="G22" s="8">
        <f t="shared" si="15"/>
        <v>4.2172536444894286E-3</v>
      </c>
      <c r="H22" s="7">
        <f t="shared" ref="H22:H31" si="21">-0.4-0.67*LOG(J22)</f>
        <v>-0.29621568680955207</v>
      </c>
      <c r="I22" s="7">
        <f t="shared" si="16"/>
        <v>0.94672548918189381</v>
      </c>
      <c r="J22" s="4">
        <f t="shared" ref="J22:J33" si="22">(1-$B$10)*EXP(-O22/$B$11)+$B$10*EXP(-O22/$B$12)+EXP(-B$13/O22)</f>
        <v>0.7</v>
      </c>
      <c r="K22" s="8">
        <f t="shared" si="17"/>
        <v>1.523409309598268E-4</v>
      </c>
      <c r="L22" s="9">
        <f t="shared" ref="L22:L33" si="23">B$4*O22^B$5*EXP(-B$6/1.987/O22)</f>
        <v>185277979569305.25</v>
      </c>
      <c r="M22" s="8">
        <f t="shared" si="18"/>
        <v>5129049886063391</v>
      </c>
      <c r="N22" s="7">
        <f t="shared" si="19"/>
        <v>25</v>
      </c>
      <c r="O22" s="12">
        <v>400</v>
      </c>
      <c r="P22" s="13"/>
      <c r="Q22" s="20">
        <f t="shared" si="20"/>
        <v>725433939602.00183</v>
      </c>
      <c r="R22" s="20"/>
      <c r="S22" s="6"/>
      <c r="AI22" s="6"/>
    </row>
    <row r="23" spans="1:35" ht="15.75">
      <c r="D23" s="7">
        <f t="shared" si="12"/>
        <v>0.93834014418268774</v>
      </c>
      <c r="E23" s="7">
        <f t="shared" si="13"/>
        <v>-2.763970323721026E-2</v>
      </c>
      <c r="F23" s="7">
        <f t="shared" si="14"/>
        <v>-2.9037699958166301</v>
      </c>
      <c r="G23" s="8">
        <f t="shared" si="15"/>
        <v>2.4685713880114499E-3</v>
      </c>
      <c r="H23" s="7">
        <f t="shared" si="21"/>
        <v>-0.29621568680955207</v>
      </c>
      <c r="I23" s="7">
        <f t="shared" si="16"/>
        <v>0.94672548918189381</v>
      </c>
      <c r="J23" s="4">
        <f t="shared" si="22"/>
        <v>0.7</v>
      </c>
      <c r="K23" s="8">
        <f t="shared" si="17"/>
        <v>1.2187274476786144E-4</v>
      </c>
      <c r="L23" s="9">
        <f t="shared" si="23"/>
        <v>193733983661863.44</v>
      </c>
      <c r="M23" s="8">
        <f t="shared" si="18"/>
        <v>3924143744067624</v>
      </c>
      <c r="N23" s="7">
        <f t="shared" si="19"/>
        <v>20</v>
      </c>
      <c r="O23" s="12">
        <v>500</v>
      </c>
      <c r="P23" s="13"/>
      <c r="Q23" s="8">
        <f t="shared" si="20"/>
        <v>447652516935.24268</v>
      </c>
      <c r="R23" s="8"/>
      <c r="S23" s="6"/>
      <c r="AI23" s="6"/>
    </row>
    <row r="24" spans="1:35" ht="15.75">
      <c r="D24" s="7">
        <f t="shared" si="12"/>
        <v>0.94253841831710494</v>
      </c>
      <c r="E24" s="7">
        <f t="shared" si="13"/>
        <v>-2.5700938710417252E-2</v>
      </c>
      <c r="F24" s="7">
        <f t="shared" si="14"/>
        <v>-3.0938049863309303</v>
      </c>
      <c r="G24" s="8">
        <f t="shared" si="15"/>
        <v>1.5937151477141409E-3</v>
      </c>
      <c r="H24" s="7">
        <f t="shared" si="21"/>
        <v>-0.29621568680955207</v>
      </c>
      <c r="I24" s="7">
        <f t="shared" si="16"/>
        <v>0.94672548918189381</v>
      </c>
      <c r="J24" s="4">
        <f t="shared" si="22"/>
        <v>0.7</v>
      </c>
      <c r="K24" s="8">
        <f t="shared" si="17"/>
        <v>1.0156062063988453E-4</v>
      </c>
      <c r="L24" s="9">
        <f t="shared" si="23"/>
        <v>200928738667455.53</v>
      </c>
      <c r="M24" s="8">
        <f t="shared" si="18"/>
        <v>3153024985549005</v>
      </c>
      <c r="N24" s="7">
        <f t="shared" si="19"/>
        <v>16.666666666666668</v>
      </c>
      <c r="O24" s="12">
        <v>600</v>
      </c>
      <c r="P24" s="13"/>
      <c r="Q24" s="20">
        <f t="shared" si="20"/>
        <v>301342390399.19012</v>
      </c>
      <c r="R24" s="20"/>
      <c r="S24" s="6"/>
      <c r="AI24" s="6"/>
    </row>
    <row r="25" spans="1:35" ht="15.75">
      <c r="D25" s="7">
        <f t="shared" si="12"/>
        <v>0.94567662351764792</v>
      </c>
      <c r="E25" s="7">
        <f t="shared" si="13"/>
        <v>-2.4257346294969288E-2</v>
      </c>
      <c r="F25" s="7">
        <f t="shared" si="14"/>
        <v>-3.2544772814444016</v>
      </c>
      <c r="G25" s="8">
        <f t="shared" si="15"/>
        <v>1.1008760038395476E-3</v>
      </c>
      <c r="H25" s="7">
        <f t="shared" si="21"/>
        <v>-0.29621568680955207</v>
      </c>
      <c r="I25" s="7">
        <f t="shared" si="16"/>
        <v>0.94672548918189381</v>
      </c>
      <c r="J25" s="4">
        <f t="shared" si="22"/>
        <v>0.7</v>
      </c>
      <c r="K25" s="8">
        <f t="shared" si="17"/>
        <v>8.7051960548472444E-5</v>
      </c>
      <c r="L25" s="9">
        <f t="shared" si="23"/>
        <v>207219879055280.06</v>
      </c>
      <c r="M25" s="8">
        <f t="shared" si="18"/>
        <v>2620542845137496.5</v>
      </c>
      <c r="N25" s="7">
        <f t="shared" si="19"/>
        <v>14.285714285714286</v>
      </c>
      <c r="O25" s="12">
        <v>700</v>
      </c>
      <c r="P25" s="13"/>
      <c r="Q25" s="8">
        <f t="shared" si="20"/>
        <v>215493727568.6593</v>
      </c>
      <c r="R25" s="8"/>
      <c r="S25" s="6"/>
      <c r="AI25" s="6"/>
    </row>
    <row r="26" spans="1:35" ht="15.75">
      <c r="D26" s="7">
        <f t="shared" si="12"/>
        <v>0.94813349929008173</v>
      </c>
      <c r="E26" s="7">
        <f t="shared" si="13"/>
        <v>-2.313050873459899E-2</v>
      </c>
      <c r="F26" s="7">
        <f t="shared" si="14"/>
        <v>-3.3936579541908496</v>
      </c>
      <c r="G26" s="8">
        <f t="shared" si="15"/>
        <v>7.9902015176612311E-4</v>
      </c>
      <c r="H26" s="7">
        <f t="shared" si="21"/>
        <v>-0.29621568680955207</v>
      </c>
      <c r="I26" s="7">
        <f t="shared" si="16"/>
        <v>0.94672548918189381</v>
      </c>
      <c r="J26" s="4">
        <f t="shared" si="22"/>
        <v>0.7</v>
      </c>
      <c r="K26" s="8">
        <f t="shared" si="17"/>
        <v>7.6170465479913401E-5</v>
      </c>
      <c r="L26" s="9">
        <f t="shared" si="23"/>
        <v>212828510348435.22</v>
      </c>
      <c r="M26" s="8">
        <f t="shared" si="18"/>
        <v>2232548633743205</v>
      </c>
      <c r="N26" s="7">
        <f t="shared" si="19"/>
        <v>12.5</v>
      </c>
      <c r="O26" s="12">
        <v>800</v>
      </c>
      <c r="P26" s="13"/>
      <c r="Q26" s="8">
        <f t="shared" si="20"/>
        <v>161105422314.69928</v>
      </c>
      <c r="R26" s="8"/>
      <c r="S26" s="6"/>
      <c r="AI26" s="6"/>
    </row>
    <row r="27" spans="1:35" ht="15.75">
      <c r="D27" s="7">
        <f t="shared" si="12"/>
        <v>0.95098582643257179</v>
      </c>
      <c r="E27" s="7">
        <f t="shared" si="13"/>
        <v>-2.182595577341016E-2</v>
      </c>
      <c r="F27" s="7">
        <f t="shared" si="14"/>
        <v>-3.5727786381034203</v>
      </c>
      <c r="G27" s="8">
        <f t="shared" si="15"/>
        <v>5.289773160142416E-4</v>
      </c>
      <c r="H27" s="7">
        <f t="shared" si="21"/>
        <v>-0.29621568680955207</v>
      </c>
      <c r="I27" s="7">
        <f t="shared" si="16"/>
        <v>0.94672548918189381</v>
      </c>
      <c r="J27" s="4">
        <f t="shared" si="22"/>
        <v>0.7</v>
      </c>
      <c r="K27" s="8">
        <f t="shared" si="17"/>
        <v>6.414354987782181E-5</v>
      </c>
      <c r="L27" s="9">
        <f t="shared" si="23"/>
        <v>220270597039098.81</v>
      </c>
      <c r="M27" s="8">
        <f t="shared" si="18"/>
        <v>1816521683638282.7</v>
      </c>
      <c r="N27" s="7">
        <f t="shared" si="19"/>
        <v>10.526315789473685</v>
      </c>
      <c r="O27" s="12">
        <v>950</v>
      </c>
      <c r="P27" s="13"/>
      <c r="Q27" s="8">
        <f t="shared" si="20"/>
        <v>110748524971.54924</v>
      </c>
      <c r="R27" s="8"/>
      <c r="S27" s="6"/>
      <c r="AI27" s="6"/>
    </row>
    <row r="28" spans="1:35" ht="15.75">
      <c r="D28" s="7">
        <f t="shared" si="12"/>
        <v>0.95177663907707111</v>
      </c>
      <c r="E28" s="7">
        <f t="shared" si="13"/>
        <v>-2.1464958966162032E-2</v>
      </c>
      <c r="F28" s="7">
        <f t="shared" si="14"/>
        <v>-3.6262419854101853</v>
      </c>
      <c r="G28" s="8">
        <f t="shared" si="15"/>
        <v>4.6770681855281518E-4</v>
      </c>
      <c r="H28" s="7">
        <f t="shared" si="21"/>
        <v>-0.29621568680955207</v>
      </c>
      <c r="I28" s="7">
        <f t="shared" si="16"/>
        <v>0.94672548918189381</v>
      </c>
      <c r="J28" s="4">
        <f t="shared" si="22"/>
        <v>0.7</v>
      </c>
      <c r="K28" s="8">
        <f t="shared" si="17"/>
        <v>6.0936372383930719E-5</v>
      </c>
      <c r="L28" s="9">
        <f t="shared" si="23"/>
        <v>222541908339404.97</v>
      </c>
      <c r="M28" s="8">
        <f t="shared" si="18"/>
        <v>1708082773426515.5</v>
      </c>
      <c r="N28" s="7">
        <f t="shared" si="19"/>
        <v>10</v>
      </c>
      <c r="O28" s="12">
        <v>1000</v>
      </c>
      <c r="P28" s="13"/>
      <c r="Q28" s="8">
        <f t="shared" si="20"/>
        <v>99018758153.939041</v>
      </c>
      <c r="R28" s="8"/>
      <c r="S28" s="6"/>
      <c r="AI28" s="6"/>
    </row>
    <row r="29" spans="1:35" ht="15.75">
      <c r="D29" s="7">
        <f t="shared" si="12"/>
        <v>0.95039426644165026</v>
      </c>
      <c r="E29" s="7">
        <f t="shared" si="13"/>
        <v>-2.2096192375785667E-2</v>
      </c>
      <c r="F29" s="7">
        <f t="shared" si="14"/>
        <v>-3.5339191785355939</v>
      </c>
      <c r="G29" s="8">
        <f t="shared" si="15"/>
        <v>5.7849086888192808E-4</v>
      </c>
      <c r="H29" s="7">
        <f t="shared" si="21"/>
        <v>-0.29621568680955207</v>
      </c>
      <c r="I29" s="7">
        <f t="shared" si="16"/>
        <v>0.94672548918189381</v>
      </c>
      <c r="J29" s="4">
        <f t="shared" si="22"/>
        <v>0.7</v>
      </c>
      <c r="K29" s="8">
        <f>760*8.1*101325/760/8.314/O29/1000000</f>
        <v>8.8218876909712041E-5</v>
      </c>
      <c r="L29" s="9">
        <f t="shared" si="23"/>
        <v>227602917753121.5</v>
      </c>
      <c r="M29" s="8">
        <f t="shared" si="18"/>
        <v>1492494738805387</v>
      </c>
      <c r="N29" s="7">
        <f t="shared" si="19"/>
        <v>8.9365504915102765</v>
      </c>
      <c r="O29" s="12">
        <v>1119</v>
      </c>
      <c r="P29" s="13"/>
      <c r="Q29" s="8">
        <f t="shared" si="20"/>
        <v>125062463243.45049</v>
      </c>
      <c r="R29" s="8"/>
      <c r="S29" s="6"/>
      <c r="AI29" s="6"/>
    </row>
    <row r="30" spans="1:35" ht="15.75">
      <c r="D30" s="7">
        <f t="shared" si="12"/>
        <v>0.95131469612503339</v>
      </c>
      <c r="E30" s="7">
        <f t="shared" si="13"/>
        <v>-2.1675794121840924E-2</v>
      </c>
      <c r="F30" s="7">
        <f t="shared" si="14"/>
        <v>-3.5947971249257487</v>
      </c>
      <c r="G30" s="8">
        <f t="shared" si="15"/>
        <v>5.0282696780535154E-4</v>
      </c>
      <c r="H30" s="7">
        <f t="shared" si="21"/>
        <v>-0.29621568680955207</v>
      </c>
      <c r="I30" s="7">
        <f t="shared" si="16"/>
        <v>0.94672548918189381</v>
      </c>
      <c r="J30" s="4">
        <f t="shared" si="22"/>
        <v>0.7</v>
      </c>
      <c r="K30" s="8">
        <f>760*7.3*101325/760/8.314/O30/1000000</f>
        <v>7.8316112394840532E-5</v>
      </c>
      <c r="L30" s="9">
        <f t="shared" si="23"/>
        <v>228290308067461.47</v>
      </c>
      <c r="M30" s="8">
        <f t="shared" si="18"/>
        <v>1465733166199317.7</v>
      </c>
      <c r="N30" s="7">
        <f t="shared" si="19"/>
        <v>8.8028169014084501</v>
      </c>
      <c r="O30" s="12">
        <v>1136</v>
      </c>
      <c r="P30" s="13"/>
      <c r="Q30" s="8">
        <f t="shared" si="20"/>
        <v>109147029801.91014</v>
      </c>
      <c r="R30" s="8"/>
      <c r="S30" s="6"/>
    </row>
    <row r="31" spans="1:35" ht="15.75">
      <c r="D31" s="7">
        <f t="shared" si="12"/>
        <v>0.95544396510080931</v>
      </c>
      <c r="E31" s="7">
        <f t="shared" si="13"/>
        <v>-1.9794778374658893E-2</v>
      </c>
      <c r="F31" s="7">
        <f t="shared" si="14"/>
        <v>-3.8997060309465934</v>
      </c>
      <c r="G31" s="8">
        <f t="shared" si="15"/>
        <v>2.4917797714892905E-4</v>
      </c>
      <c r="H31" s="7">
        <f t="shared" si="21"/>
        <v>-0.29621568680955207</v>
      </c>
      <c r="I31" s="7">
        <f t="shared" si="16"/>
        <v>0.94672548918189381</v>
      </c>
      <c r="J31" s="4">
        <f t="shared" si="22"/>
        <v>0.7</v>
      </c>
      <c r="K31" s="8">
        <f t="shared" si="17"/>
        <v>4.6874132603023633E-5</v>
      </c>
      <c r="L31" s="9">
        <f t="shared" si="23"/>
        <v>234531120441019.87</v>
      </c>
      <c r="M31" s="8">
        <f t="shared" si="18"/>
        <v>1246742860606992.5</v>
      </c>
      <c r="N31" s="7">
        <f t="shared" si="19"/>
        <v>7.6923076923076925</v>
      </c>
      <c r="O31" s="12">
        <v>1300</v>
      </c>
      <c r="P31" s="13"/>
      <c r="Q31" s="8">
        <f t="shared" si="20"/>
        <v>55822226259.024673</v>
      </c>
      <c r="R31" s="8"/>
      <c r="S31" s="6"/>
      <c r="AI31" s="6"/>
    </row>
    <row r="32" spans="1:35" ht="15.75">
      <c r="D32" s="7">
        <f>10^E32</f>
        <v>0.95721021599427847</v>
      </c>
      <c r="E32" s="7">
        <f>LOG(J32)/(1+(F32/(I32-0.14*F32))^2)</f>
        <v>-1.8992674949671939E-2</v>
      </c>
      <c r="F32" s="7">
        <f>LOG(G32)+H32</f>
        <v>-4.0488610071438202</v>
      </c>
      <c r="G32" s="8">
        <f>M32*K32/L32</f>
        <v>1.7674806977540787E-4</v>
      </c>
      <c r="H32" s="7">
        <f>-0.4-0.67*LOG(J32)</f>
        <v>-0.29621568680955207</v>
      </c>
      <c r="I32" s="7">
        <f>0.75-1.27*LOG(J32)</f>
        <v>0.94672548918189381</v>
      </c>
      <c r="J32" s="4">
        <f t="shared" si="22"/>
        <v>0.7</v>
      </c>
      <c r="K32" s="8">
        <f t="shared" si="17"/>
        <v>4.0624248255953815E-5</v>
      </c>
      <c r="L32" s="9">
        <f t="shared" si="23"/>
        <v>241340417502550.47</v>
      </c>
      <c r="M32" s="8">
        <f>$B$7*O32^$B$8*EXP(-$B$9/1.987/O32)</f>
        <v>1050024425894827.7</v>
      </c>
      <c r="N32" s="7">
        <f>10000/O32</f>
        <v>6.666666666666667</v>
      </c>
      <c r="O32" s="12">
        <v>1500</v>
      </c>
      <c r="P32" s="13"/>
      <c r="Q32" s="8">
        <f>L32/(1+L32/M32/K32)*D32</f>
        <v>40823976984.952209</v>
      </c>
      <c r="R32" s="8"/>
      <c r="S32" s="6"/>
      <c r="Y32" s="6"/>
      <c r="AI32" s="6"/>
    </row>
    <row r="33" spans="4:44" ht="15.75">
      <c r="D33" s="7">
        <f>10^E33</f>
        <v>0.95925723145733566</v>
      </c>
      <c r="E33" s="7">
        <f>LOG(J33)/(1+(F33/(I33-0.14*F33))^2)</f>
        <v>-1.8064918144575191E-2</v>
      </c>
      <c r="F33" s="7">
        <f>LOG(G33)+H33</f>
        <v>-4.2388959976581209</v>
      </c>
      <c r="G33" s="8">
        <f>M33*K33/L33</f>
        <v>1.1410894475173138E-4</v>
      </c>
      <c r="H33" s="7">
        <f>-0.4-0.67*LOG(J33)</f>
        <v>-0.29621568680955207</v>
      </c>
      <c r="I33" s="7">
        <f>0.75-1.27*LOG(J33)</f>
        <v>0.94672548918189381</v>
      </c>
      <c r="J33" s="4">
        <f t="shared" si="22"/>
        <v>0.7</v>
      </c>
      <c r="K33" s="8">
        <f t="shared" si="17"/>
        <v>3.3853540213294842E-5</v>
      </c>
      <c r="L33" s="9">
        <f t="shared" si="23"/>
        <v>250303146415970.06</v>
      </c>
      <c r="M33" s="8">
        <f>$B$7*O33^$B$8*EXP(-$B$9/1.987/O33)</f>
        <v>843688067056211.62</v>
      </c>
      <c r="N33" s="7">
        <f>10000/O33</f>
        <v>5.5555555555555554</v>
      </c>
      <c r="O33" s="12">
        <v>1800</v>
      </c>
      <c r="P33" s="13"/>
      <c r="Q33" s="8">
        <f>L33/(1+L33/M33/K33)*D33</f>
        <v>27395013945.919807</v>
      </c>
      <c r="R33" s="8"/>
      <c r="S33" s="6"/>
      <c r="Y33" s="10"/>
      <c r="AI33" s="6"/>
    </row>
    <row r="34" spans="4:44">
      <c r="D34" s="2" t="s">
        <v>4</v>
      </c>
      <c r="E34" s="2" t="s">
        <v>5</v>
      </c>
      <c r="F34" t="s">
        <v>6</v>
      </c>
      <c r="G34" s="6" t="s">
        <v>7</v>
      </c>
      <c r="H34" s="2" t="s">
        <v>8</v>
      </c>
      <c r="I34" t="s">
        <v>9</v>
      </c>
      <c r="J34" t="s">
        <v>10</v>
      </c>
      <c r="K34" s="6" t="s">
        <v>11</v>
      </c>
      <c r="L34" s="6" t="s">
        <v>12</v>
      </c>
      <c r="M34" s="6" t="s">
        <v>13</v>
      </c>
      <c r="N34" s="2" t="s">
        <v>14</v>
      </c>
      <c r="P34">
        <f>760*7</f>
        <v>5320</v>
      </c>
      <c r="Q34" s="6" t="s">
        <v>16</v>
      </c>
      <c r="S34" s="6"/>
      <c r="Y34" s="10"/>
      <c r="AI34" s="6"/>
    </row>
    <row r="35" spans="4:44" ht="15.75">
      <c r="D35" s="2">
        <f t="shared" ref="D35:D45" si="24">10^E35</f>
        <v>0.91721499171648591</v>
      </c>
      <c r="E35" s="2">
        <f t="shared" ref="E35:E45" si="25">LOG(J35)/(1+(F35/(I35-0.14*F35))^2)</f>
        <v>-3.7528855417747767E-2</v>
      </c>
      <c r="F35" s="2">
        <f t="shared" ref="F35:F45" si="26">LOG(G35)+H35</f>
        <v>-2.2252049610591373</v>
      </c>
      <c r="G35" s="6">
        <f t="shared" ref="G35:G45" si="27">M35*K35/L35</f>
        <v>1.1776350571593448E-2</v>
      </c>
      <c r="H35" s="2">
        <f>-0.4-0.67*LOG(J35)</f>
        <v>-0.29621568680955207</v>
      </c>
      <c r="I35" s="2">
        <f t="shared" ref="I35:I45" si="28">0.75-1.27*LOG(J35)</f>
        <v>0.94672548918189381</v>
      </c>
      <c r="J35" s="4">
        <f>(1-$B$10)*EXP(-O35/$B$11)+$B$10*EXP(-O35/$B$12)+EXP(-B$13/O35)</f>
        <v>0.7</v>
      </c>
      <c r="K35" s="6">
        <f t="shared" ref="K35:K45" si="29">$P$34*101325/760/8.314/O35/1000000</f>
        <v>2.8436973779167668E-4</v>
      </c>
      <c r="L35" s="9">
        <f>B$4*O35^B$5*EXP(-B$6/1.987/O35)</f>
        <v>174918626629333.09</v>
      </c>
      <c r="M35" s="6">
        <f t="shared" ref="M35:M45" si="30">$B$7*O35^$B$8*EXP(-$B$9/1.987/O35)</f>
        <v>7243749228329386</v>
      </c>
      <c r="N35" s="2">
        <f t="shared" ref="N35:N45" si="31">10000/O35</f>
        <v>33.333333333333336</v>
      </c>
      <c r="O35" s="12">
        <v>300</v>
      </c>
      <c r="P35" s="13"/>
      <c r="Q35" s="6">
        <f t="shared" ref="Q35:Q45" si="32">L35/(1+L35/M35/K35)*D35</f>
        <v>1867383019000.8638</v>
      </c>
      <c r="R35" s="6"/>
      <c r="S35" s="6"/>
      <c r="AI35" s="6"/>
    </row>
    <row r="36" spans="4:44" ht="15.75">
      <c r="D36" s="2">
        <f t="shared" si="24"/>
        <v>0.92797262539872249</v>
      </c>
      <c r="E36" s="2">
        <f t="shared" si="25"/>
        <v>-3.246483500272309E-2</v>
      </c>
      <c r="F36" s="2">
        <f t="shared" si="26"/>
        <v>-2.5250579289190571</v>
      </c>
      <c r="G36" s="6">
        <f t="shared" si="27"/>
        <v>5.9041551022852006E-3</v>
      </c>
      <c r="H36" s="2">
        <f t="shared" ref="H36:H45" si="33">-0.4-0.67*LOG(J36)</f>
        <v>-0.29621568680955207</v>
      </c>
      <c r="I36" s="2">
        <f t="shared" si="28"/>
        <v>0.94672548918189381</v>
      </c>
      <c r="J36" s="4">
        <f t="shared" ref="J36:J47" si="34">(1-$B$10)*EXP(-O36/$B$11)+$B$10*EXP(-O36/$B$12)+EXP(-B$13/O36)</f>
        <v>0.7</v>
      </c>
      <c r="K36" s="6">
        <f t="shared" si="29"/>
        <v>2.1327730334375753E-4</v>
      </c>
      <c r="L36" s="9">
        <f t="shared" ref="L36:L47" si="35">B$4*O36^B$5*EXP(-B$6/1.987/O36)</f>
        <v>185277979569305.25</v>
      </c>
      <c r="M36" s="6">
        <f t="shared" si="30"/>
        <v>5129049886063391</v>
      </c>
      <c r="N36" s="2">
        <f t="shared" si="31"/>
        <v>25</v>
      </c>
      <c r="O36" s="12">
        <v>400</v>
      </c>
      <c r="P36" s="13"/>
      <c r="Q36" s="6">
        <f t="shared" si="32"/>
        <v>1009160229701.9698</v>
      </c>
      <c r="R36" s="6"/>
      <c r="S36" s="6"/>
      <c r="AI36" s="6"/>
    </row>
    <row r="37" spans="4:44" ht="15.75">
      <c r="D37" s="2">
        <f t="shared" si="24"/>
        <v>0.93469142630999691</v>
      </c>
      <c r="E37" s="2">
        <f t="shared" si="25"/>
        <v>-2.9331740966357673E-2</v>
      </c>
      <c r="F37" s="2">
        <f t="shared" si="26"/>
        <v>-2.7576419601383924</v>
      </c>
      <c r="G37" s="6">
        <f t="shared" si="27"/>
        <v>3.4559999432160291E-3</v>
      </c>
      <c r="H37" s="2">
        <f t="shared" si="33"/>
        <v>-0.29621568680955207</v>
      </c>
      <c r="I37" s="2">
        <f t="shared" si="28"/>
        <v>0.94672548918189381</v>
      </c>
      <c r="J37" s="4">
        <f t="shared" si="34"/>
        <v>0.7</v>
      </c>
      <c r="K37" s="6">
        <f t="shared" si="29"/>
        <v>1.7062184267500601E-4</v>
      </c>
      <c r="L37" s="9">
        <f t="shared" si="35"/>
        <v>193733983661863.44</v>
      </c>
      <c r="M37" s="6">
        <f t="shared" si="30"/>
        <v>3924143744067624</v>
      </c>
      <c r="N37" s="2">
        <f t="shared" si="31"/>
        <v>20</v>
      </c>
      <c r="O37" s="12">
        <v>500</v>
      </c>
      <c r="P37" s="13"/>
      <c r="Q37" s="6">
        <f t="shared" si="32"/>
        <v>623662254584.13232</v>
      </c>
      <c r="R37" s="6"/>
      <c r="S37" s="6"/>
      <c r="AI37" s="6"/>
    </row>
    <row r="38" spans="4:44" ht="15.75">
      <c r="D38" s="2">
        <f t="shared" si="24"/>
        <v>0.93936168952196331</v>
      </c>
      <c r="E38" s="2">
        <f t="shared" si="25"/>
        <v>-2.7167155850113464E-2</v>
      </c>
      <c r="F38" s="2">
        <f t="shared" si="26"/>
        <v>-2.9476769506526921</v>
      </c>
      <c r="G38" s="6">
        <f t="shared" si="27"/>
        <v>2.2312012067997973E-3</v>
      </c>
      <c r="H38" s="2">
        <f t="shared" si="33"/>
        <v>-0.29621568680955207</v>
      </c>
      <c r="I38" s="2">
        <f t="shared" si="28"/>
        <v>0.94672548918189381</v>
      </c>
      <c r="J38" s="4">
        <f t="shared" si="34"/>
        <v>0.7</v>
      </c>
      <c r="K38" s="6">
        <f t="shared" si="29"/>
        <v>1.4218486889583834E-4</v>
      </c>
      <c r="L38" s="9">
        <f t="shared" si="35"/>
        <v>200928738667455.53</v>
      </c>
      <c r="M38" s="6">
        <f t="shared" si="30"/>
        <v>3153024985549005</v>
      </c>
      <c r="N38" s="2">
        <f t="shared" si="31"/>
        <v>16.666666666666668</v>
      </c>
      <c r="O38" s="12">
        <v>600</v>
      </c>
      <c r="P38" s="13"/>
      <c r="Q38" s="6">
        <f t="shared" si="32"/>
        <v>420190006563.55853</v>
      </c>
      <c r="R38" s="6"/>
      <c r="S38" s="6"/>
      <c r="AI38" s="6"/>
    </row>
    <row r="39" spans="4:44" ht="15.75">
      <c r="D39" s="2">
        <f t="shared" si="24"/>
        <v>0.9428370166986203</v>
      </c>
      <c r="E39" s="2">
        <f t="shared" si="25"/>
        <v>-2.5563374989077535E-2</v>
      </c>
      <c r="F39" s="2">
        <f t="shared" si="26"/>
        <v>-3.1083492457661639</v>
      </c>
      <c r="G39" s="6">
        <f t="shared" si="27"/>
        <v>1.5412264053753669E-3</v>
      </c>
      <c r="H39" s="2">
        <f t="shared" si="33"/>
        <v>-0.29621568680955207</v>
      </c>
      <c r="I39" s="2">
        <f t="shared" si="28"/>
        <v>0.94672548918189381</v>
      </c>
      <c r="J39" s="4">
        <f t="shared" si="34"/>
        <v>0.7</v>
      </c>
      <c r="K39" s="6">
        <f t="shared" si="29"/>
        <v>1.2187274476786144E-4</v>
      </c>
      <c r="L39" s="9">
        <f t="shared" si="35"/>
        <v>207219879055280.06</v>
      </c>
      <c r="M39" s="6">
        <f t="shared" si="30"/>
        <v>2620542845137496.5</v>
      </c>
      <c r="N39" s="2">
        <f t="shared" si="31"/>
        <v>14.285714285714286</v>
      </c>
      <c r="O39" s="12">
        <v>700</v>
      </c>
      <c r="P39" s="13"/>
      <c r="Q39" s="20">
        <f t="shared" si="32"/>
        <v>300653075723.3056</v>
      </c>
      <c r="R39" s="20"/>
      <c r="S39" s="6"/>
      <c r="AI39" s="6"/>
    </row>
    <row r="40" spans="4:44" ht="15.75">
      <c r="D40" s="2">
        <f t="shared" si="24"/>
        <v>0.94554792089808304</v>
      </c>
      <c r="E40" s="2">
        <f t="shared" si="25"/>
        <v>-2.4316455973653273E-2</v>
      </c>
      <c r="F40" s="2">
        <f t="shared" si="26"/>
        <v>-3.2475299185126114</v>
      </c>
      <c r="G40" s="6">
        <f t="shared" si="27"/>
        <v>1.1186282124725725E-3</v>
      </c>
      <c r="H40" s="2">
        <f t="shared" si="33"/>
        <v>-0.29621568680955207</v>
      </c>
      <c r="I40" s="2">
        <f t="shared" si="28"/>
        <v>0.94672548918189381</v>
      </c>
      <c r="J40" s="4">
        <f t="shared" si="34"/>
        <v>0.7</v>
      </c>
      <c r="K40" s="6">
        <f t="shared" si="29"/>
        <v>1.0663865167187876E-4</v>
      </c>
      <c r="L40" s="9">
        <f t="shared" si="35"/>
        <v>212828510348435.22</v>
      </c>
      <c r="M40" s="6">
        <f t="shared" si="30"/>
        <v>2232548633743205</v>
      </c>
      <c r="N40" s="2">
        <f t="shared" si="31"/>
        <v>12.5</v>
      </c>
      <c r="O40" s="12">
        <v>800</v>
      </c>
      <c r="P40" s="13"/>
      <c r="Q40" s="20">
        <f t="shared" si="32"/>
        <v>224860708679.11414</v>
      </c>
      <c r="R40" s="20"/>
      <c r="S40" s="6"/>
      <c r="U40" s="6"/>
      <c r="V40" s="6"/>
      <c r="AI40" s="6"/>
    </row>
    <row r="41" spans="4:44" ht="15.75">
      <c r="D41" s="2">
        <f t="shared" si="24"/>
        <v>0.94773668155163504</v>
      </c>
      <c r="E41" s="2">
        <f t="shared" si="25"/>
        <v>-2.3312309955364877E-2</v>
      </c>
      <c r="F41" s="2">
        <f t="shared" si="26"/>
        <v>-3.3702959723863271</v>
      </c>
      <c r="G41" s="6">
        <f t="shared" si="27"/>
        <v>8.4317886962319755E-4</v>
      </c>
      <c r="H41" s="2">
        <f t="shared" si="33"/>
        <v>-0.29621568680955207</v>
      </c>
      <c r="I41" s="2">
        <f t="shared" si="28"/>
        <v>0.94672548918189381</v>
      </c>
      <c r="J41" s="4">
        <f t="shared" si="34"/>
        <v>0.7</v>
      </c>
      <c r="K41" s="6">
        <f t="shared" si="29"/>
        <v>9.4789912597225562E-5</v>
      </c>
      <c r="L41" s="9">
        <f t="shared" si="35"/>
        <v>217901545107214.97</v>
      </c>
      <c r="M41" s="6">
        <f t="shared" si="30"/>
        <v>1938286189516197.2</v>
      </c>
      <c r="N41" s="2">
        <f t="shared" si="31"/>
        <v>11.111111111111111</v>
      </c>
      <c r="O41" s="12">
        <v>900</v>
      </c>
      <c r="P41" s="13"/>
      <c r="Q41" s="20">
        <f t="shared" si="32"/>
        <v>173980943063.26904</v>
      </c>
      <c r="R41" s="20"/>
      <c r="S41" s="6"/>
      <c r="V41" s="6"/>
      <c r="AI41" s="6"/>
    </row>
    <row r="42" spans="4:44" ht="15.75">
      <c r="D42" s="2">
        <f t="shared" si="24"/>
        <v>0.94955089453222485</v>
      </c>
      <c r="E42" s="2">
        <f t="shared" si="25"/>
        <v>-2.2481752757249236E-2</v>
      </c>
      <c r="F42" s="2">
        <f t="shared" si="26"/>
        <v>-3.4801139497319471</v>
      </c>
      <c r="G42" s="6">
        <f t="shared" si="27"/>
        <v>6.5478954597394121E-4</v>
      </c>
      <c r="H42" s="2">
        <f t="shared" si="33"/>
        <v>-0.29621568680955207</v>
      </c>
      <c r="I42" s="2">
        <f t="shared" si="28"/>
        <v>0.94672548918189381</v>
      </c>
      <c r="J42" s="4">
        <f t="shared" si="34"/>
        <v>0.7</v>
      </c>
      <c r="K42" s="6">
        <f t="shared" si="29"/>
        <v>8.5310921337503003E-5</v>
      </c>
      <c r="L42" s="9">
        <f t="shared" si="35"/>
        <v>222541908339404.97</v>
      </c>
      <c r="M42" s="6">
        <f t="shared" si="30"/>
        <v>1708082773426515.5</v>
      </c>
      <c r="N42" s="2">
        <f t="shared" si="31"/>
        <v>10</v>
      </c>
      <c r="O42" s="12">
        <v>1000</v>
      </c>
      <c r="P42" s="13"/>
      <c r="Q42" s="6">
        <f t="shared" si="32"/>
        <v>138276224736.9772</v>
      </c>
      <c r="R42" s="6"/>
      <c r="S42" s="6"/>
    </row>
    <row r="43" spans="4:44" ht="15.75">
      <c r="D43" s="2">
        <f t="shared" si="24"/>
        <v>0.95108604255040485</v>
      </c>
      <c r="E43" s="2">
        <f t="shared" si="25"/>
        <v>-2.1780191669831715E-2</v>
      </c>
      <c r="F43" s="2">
        <f t="shared" si="26"/>
        <v>-3.5794563941116873</v>
      </c>
      <c r="G43" s="6">
        <f t="shared" si="27"/>
        <v>5.2090591947247754E-4</v>
      </c>
      <c r="H43" s="2">
        <f t="shared" si="33"/>
        <v>-0.29621568680955207</v>
      </c>
      <c r="I43" s="2">
        <f t="shared" si="28"/>
        <v>0.94672548918189381</v>
      </c>
      <c r="J43" s="4">
        <f t="shared" si="34"/>
        <v>0.7</v>
      </c>
      <c r="K43" s="6">
        <f t="shared" si="29"/>
        <v>7.7555383034093631E-5</v>
      </c>
      <c r="L43" s="9">
        <f t="shared" si="35"/>
        <v>226824699879569.84</v>
      </c>
      <c r="M43" s="6">
        <f t="shared" si="30"/>
        <v>1523483273854698.2</v>
      </c>
      <c r="N43" s="2">
        <f t="shared" si="31"/>
        <v>9.0909090909090917</v>
      </c>
      <c r="O43" s="12">
        <v>1100</v>
      </c>
      <c r="P43" s="13"/>
      <c r="Q43" s="6">
        <f t="shared" si="32"/>
        <v>112316426744.44455</v>
      </c>
      <c r="R43" s="6"/>
      <c r="S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4:44" ht="15.75">
      <c r="D44" s="2">
        <f t="shared" si="24"/>
        <v>0.95240687661624224</v>
      </c>
      <c r="E44" s="2">
        <f t="shared" si="25"/>
        <v>-2.1177477540880341E-2</v>
      </c>
      <c r="F44" s="2">
        <f t="shared" si="26"/>
        <v>-3.6701489402462473</v>
      </c>
      <c r="G44" s="6">
        <f t="shared" si="27"/>
        <v>4.2273357904555527E-4</v>
      </c>
      <c r="H44" s="2">
        <f t="shared" si="33"/>
        <v>-0.29621568680955207</v>
      </c>
      <c r="I44" s="2">
        <f t="shared" si="28"/>
        <v>0.94672548918189381</v>
      </c>
      <c r="J44" s="4">
        <f t="shared" si="34"/>
        <v>0.7</v>
      </c>
      <c r="K44" s="6">
        <f t="shared" si="29"/>
        <v>7.1092434447919171E-5</v>
      </c>
      <c r="L44" s="9">
        <f t="shared" si="35"/>
        <v>230806511578935.31</v>
      </c>
      <c r="M44" s="6">
        <f t="shared" si="30"/>
        <v>1372433838628218.7</v>
      </c>
      <c r="N44" s="2">
        <f t="shared" si="31"/>
        <v>8.3333333333333339</v>
      </c>
      <c r="O44" s="12">
        <v>1200</v>
      </c>
      <c r="P44" s="13"/>
      <c r="Q44" s="6">
        <f t="shared" si="32"/>
        <v>92886751362.217926</v>
      </c>
      <c r="R44" s="6"/>
      <c r="S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4:44" ht="15.75">
      <c r="D45" s="2">
        <f t="shared" si="24"/>
        <v>0.95355900706208285</v>
      </c>
      <c r="E45" s="2">
        <f t="shared" si="25"/>
        <v>-2.0652427265541083E-2</v>
      </c>
      <c r="F45" s="2">
        <f t="shared" si="26"/>
        <v>-3.7535779952683557</v>
      </c>
      <c r="G45" s="6">
        <f t="shared" si="27"/>
        <v>3.4884916800850059E-4</v>
      </c>
      <c r="H45" s="2">
        <f t="shared" si="33"/>
        <v>-0.29621568680955207</v>
      </c>
      <c r="I45" s="2">
        <f t="shared" si="28"/>
        <v>0.94672548918189381</v>
      </c>
      <c r="J45" s="4">
        <f t="shared" si="34"/>
        <v>0.7</v>
      </c>
      <c r="K45" s="6">
        <f t="shared" si="29"/>
        <v>6.5623785644233079E-5</v>
      </c>
      <c r="L45" s="9">
        <f t="shared" si="35"/>
        <v>234531120441019.87</v>
      </c>
      <c r="M45" s="6">
        <f t="shared" si="30"/>
        <v>1246742860606992.5</v>
      </c>
      <c r="N45" s="2">
        <f t="shared" si="31"/>
        <v>7.6923076923076925</v>
      </c>
      <c r="O45" s="12">
        <v>1300</v>
      </c>
      <c r="P45" s="13"/>
      <c r="Q45" s="6">
        <f t="shared" si="32"/>
        <v>77989164143.840561</v>
      </c>
      <c r="R45" s="6"/>
      <c r="S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4:44" ht="15.75">
      <c r="D46" s="2">
        <f>10^E46</f>
        <v>0.95548133057236706</v>
      </c>
      <c r="E46" s="2">
        <f>LOG(J46)/(1+(F46/(I46-0.14*F46))^2)</f>
        <v>-1.9777794332268488E-2</v>
      </c>
      <c r="F46" s="2">
        <f>LOG(G46)+H46</f>
        <v>-3.9027329714655821</v>
      </c>
      <c r="G46" s="6">
        <f>M46*K46/L46</f>
        <v>2.4744729768557105E-4</v>
      </c>
      <c r="H46" s="2">
        <f>-0.4-0.67*LOG(J46)</f>
        <v>-0.29621568680955207</v>
      </c>
      <c r="I46" s="2">
        <f>0.75-1.27*LOG(J46)</f>
        <v>0.94672548918189381</v>
      </c>
      <c r="J46" s="4">
        <f t="shared" si="34"/>
        <v>0.7</v>
      </c>
      <c r="K46" s="6">
        <f>$P$34*101325/760/8.314/O46/1000000</f>
        <v>5.687394755833534E-5</v>
      </c>
      <c r="L46" s="9">
        <f t="shared" si="35"/>
        <v>241340417502550.47</v>
      </c>
      <c r="M46" s="6">
        <f>$B$7*O46^$B$8*EXP(-$B$9/1.987/O46)</f>
        <v>1050024425894827.7</v>
      </c>
      <c r="N46" s="2">
        <f>10000/O46</f>
        <v>6.666666666666667</v>
      </c>
      <c r="O46" s="12">
        <v>1500</v>
      </c>
      <c r="P46" s="13"/>
      <c r="Q46" s="6">
        <f>L46/(1+L46/M46/K46)*D46</f>
        <v>57046306239.873085</v>
      </c>
      <c r="R46" s="6"/>
      <c r="S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4:44" ht="15.75">
      <c r="D47" s="2">
        <f>10^E47</f>
        <v>0.95770240866302114</v>
      </c>
      <c r="E47" s="2">
        <f>LOG(J47)/(1+(F47/(I47-0.14*F47))^2)</f>
        <v>-1.8769420309201069E-2</v>
      </c>
      <c r="F47" s="2">
        <f>LOG(G47)+H47</f>
        <v>-4.0927679619798827</v>
      </c>
      <c r="G47" s="6">
        <f>M47*K47/L47</f>
        <v>1.5975252265242393E-4</v>
      </c>
      <c r="H47" s="2">
        <f>-0.4-0.67*LOG(J47)</f>
        <v>-0.29621568680955207</v>
      </c>
      <c r="I47" s="2">
        <f>0.75-1.27*LOG(J47)</f>
        <v>0.94672548918189381</v>
      </c>
      <c r="J47" s="4">
        <f t="shared" si="34"/>
        <v>0.7</v>
      </c>
      <c r="K47" s="6">
        <f>$P$34*101325/760/8.314/O47/1000000</f>
        <v>4.7394956298612781E-5</v>
      </c>
      <c r="L47" s="9">
        <f t="shared" si="35"/>
        <v>250303146415970.06</v>
      </c>
      <c r="M47" s="6">
        <f>$B$7*O47^$B$8*EXP(-$B$9/1.987/O47)</f>
        <v>843688067056211.62</v>
      </c>
      <c r="N47" s="2">
        <f>10000/O47</f>
        <v>5.5555555555555554</v>
      </c>
      <c r="O47" s="12">
        <v>1800</v>
      </c>
      <c r="P47" s="13"/>
      <c r="Q47" s="6">
        <f>L47/(1+L47/M47/K47)*D47</f>
        <v>38289107151.911255</v>
      </c>
      <c r="R47" s="6"/>
      <c r="S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4:44">
      <c r="D48" s="2" t="s">
        <v>4</v>
      </c>
      <c r="E48" s="2" t="s">
        <v>5</v>
      </c>
      <c r="F48" t="s">
        <v>6</v>
      </c>
      <c r="G48" s="6" t="s">
        <v>7</v>
      </c>
      <c r="H48" s="2" t="s">
        <v>8</v>
      </c>
      <c r="I48" t="s">
        <v>9</v>
      </c>
      <c r="J48" t="s">
        <v>10</v>
      </c>
      <c r="K48" s="6" t="s">
        <v>11</v>
      </c>
      <c r="L48" s="6" t="s">
        <v>12</v>
      </c>
      <c r="M48" s="6" t="s">
        <v>13</v>
      </c>
      <c r="N48" s="2" t="s">
        <v>14</v>
      </c>
      <c r="P48">
        <f>760*8</f>
        <v>6080</v>
      </c>
      <c r="Q48" s="6" t="s">
        <v>16</v>
      </c>
      <c r="S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4:44" ht="15.75">
      <c r="D49" s="2">
        <f t="shared" ref="D49:D59" si="36">10^E49</f>
        <v>0.91479933837853977</v>
      </c>
      <c r="E49" s="2">
        <f t="shared" ref="E49:E59" si="37">LOG(J49)/(1+(F49/(I49-0.14*F49))^2)</f>
        <v>-3.8674158165259868E-2</v>
      </c>
      <c r="F49" s="2">
        <f t="shared" ref="F49:F59" si="38">LOG(G49)+H49</f>
        <v>-2.1672130140814505</v>
      </c>
      <c r="G49" s="6">
        <f t="shared" ref="G49:G59" si="39">M49*K49/L49</f>
        <v>1.3458686367535371E-2</v>
      </c>
      <c r="H49" s="2">
        <f>-0.4-0.67*LOG(J49)</f>
        <v>-0.29621568680955207</v>
      </c>
      <c r="I49" s="2">
        <f t="shared" ref="I49:I59" si="40">0.75-1.27*LOG(J49)</f>
        <v>0.94672548918189381</v>
      </c>
      <c r="J49" s="4">
        <f>(1-$B$10)*EXP(-O49/$B$11)+$B$10*EXP(-O49/$B$12)+EXP(-B$13/O49)</f>
        <v>0.7</v>
      </c>
      <c r="K49" s="6">
        <f t="shared" ref="K49:K59" si="41">$P$48*101325/760/8.314/O49/1000000</f>
        <v>3.2499398604763052E-4</v>
      </c>
      <c r="L49" s="9">
        <f>B$4*O49^B$5*EXP(-B$6/1.987/O49)</f>
        <v>174918626629333.09</v>
      </c>
      <c r="M49" s="6">
        <f t="shared" ref="M49:M59" si="42">$B$7*O49^$B$8*EXP(-$B$9/1.987/O49)</f>
        <v>7243749228329386</v>
      </c>
      <c r="N49" s="2">
        <f t="shared" ref="N49:N59" si="43">10000/O49</f>
        <v>33.333333333333336</v>
      </c>
      <c r="O49" s="12">
        <v>300</v>
      </c>
      <c r="P49" s="13"/>
      <c r="Q49" s="6">
        <f t="shared" ref="Q49:Q58" si="44">L49/(1+L49/M49/K49)*D49</f>
        <v>2124997992048.0518</v>
      </c>
      <c r="R49" s="6"/>
      <c r="S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4:44" ht="15.75">
      <c r="D50" s="2">
        <f t="shared" si="36"/>
        <v>0.92609516900095745</v>
      </c>
      <c r="E50" s="2">
        <f t="shared" si="37"/>
        <v>-3.3344381300562172E-2</v>
      </c>
      <c r="F50" s="2">
        <f t="shared" si="38"/>
        <v>-2.4670659819413703</v>
      </c>
      <c r="G50" s="6">
        <f t="shared" si="39"/>
        <v>6.7476058311830862E-3</v>
      </c>
      <c r="H50" s="2">
        <f t="shared" ref="H50:H59" si="45">-0.4-0.67*LOG(J50)</f>
        <v>-0.29621568680955207</v>
      </c>
      <c r="I50" s="2">
        <f t="shared" si="40"/>
        <v>0.94672548918189381</v>
      </c>
      <c r="J50" s="4">
        <f t="shared" ref="J50:J61" si="46">(1-$B$10)*EXP(-O50/$B$11)+$B$10*EXP(-O50/$B$12)+EXP(-B$13/O50)</f>
        <v>0.7</v>
      </c>
      <c r="K50" s="6">
        <f t="shared" si="41"/>
        <v>2.4374548953572288E-4</v>
      </c>
      <c r="L50" s="9">
        <f t="shared" ref="L50:L61" si="47">B$4*O50^B$5*EXP(-B$6/1.987/O50)</f>
        <v>185277979569305.25</v>
      </c>
      <c r="M50" s="6">
        <f t="shared" si="42"/>
        <v>5129049886063391</v>
      </c>
      <c r="N50" s="2">
        <f t="shared" si="43"/>
        <v>25</v>
      </c>
      <c r="O50" s="12">
        <v>400</v>
      </c>
      <c r="P50" s="13"/>
      <c r="Q50" s="6">
        <f t="shared" si="44"/>
        <v>1150028291000.4839</v>
      </c>
      <c r="R50" s="6"/>
      <c r="S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4:44" ht="15.75">
      <c r="D51" s="2">
        <f t="shared" si="36"/>
        <v>0.93312821287241743</v>
      </c>
      <c r="E51" s="2">
        <f t="shared" si="37"/>
        <v>-3.0058679600306181E-2</v>
      </c>
      <c r="F51" s="2">
        <f t="shared" si="38"/>
        <v>-2.6996500131607055</v>
      </c>
      <c r="G51" s="6">
        <f t="shared" si="39"/>
        <v>3.9497142208183194E-3</v>
      </c>
      <c r="H51" s="2">
        <f t="shared" si="45"/>
        <v>-0.29621568680955207</v>
      </c>
      <c r="I51" s="2">
        <f t="shared" si="40"/>
        <v>0.94672548918189381</v>
      </c>
      <c r="J51" s="4">
        <f t="shared" si="46"/>
        <v>0.7</v>
      </c>
      <c r="K51" s="6">
        <f t="shared" si="41"/>
        <v>1.949963916285783E-4</v>
      </c>
      <c r="L51" s="9">
        <f t="shared" si="47"/>
        <v>193733983661863.44</v>
      </c>
      <c r="M51" s="6">
        <f t="shared" si="42"/>
        <v>3924143744067624</v>
      </c>
      <c r="N51" s="2">
        <f t="shared" si="43"/>
        <v>20</v>
      </c>
      <c r="O51" s="12">
        <v>500</v>
      </c>
      <c r="P51" s="13"/>
      <c r="Q51" s="6">
        <f t="shared" si="44"/>
        <v>711214893139.84619</v>
      </c>
      <c r="R51" s="6"/>
      <c r="S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4:44" ht="15.75">
      <c r="D52" s="2">
        <f t="shared" si="36"/>
        <v>0.93800543591456786</v>
      </c>
      <c r="E52" s="2">
        <f t="shared" si="37"/>
        <v>-2.7794644796990682E-2</v>
      </c>
      <c r="F52" s="2">
        <f t="shared" si="38"/>
        <v>-2.8896850036750052</v>
      </c>
      <c r="G52" s="6">
        <f t="shared" si="39"/>
        <v>2.5499442363426258E-3</v>
      </c>
      <c r="H52" s="2">
        <f t="shared" si="45"/>
        <v>-0.29621568680955207</v>
      </c>
      <c r="I52" s="2">
        <f t="shared" si="40"/>
        <v>0.94672548918189381</v>
      </c>
      <c r="J52" s="4">
        <f t="shared" si="46"/>
        <v>0.7</v>
      </c>
      <c r="K52" s="6">
        <f t="shared" si="41"/>
        <v>1.6249699302381526E-4</v>
      </c>
      <c r="L52" s="9">
        <f t="shared" si="47"/>
        <v>200928738667455.53</v>
      </c>
      <c r="M52" s="6">
        <f t="shared" si="42"/>
        <v>3153024985549005</v>
      </c>
      <c r="N52" s="2">
        <f t="shared" si="43"/>
        <v>16.666666666666668</v>
      </c>
      <c r="O52" s="12">
        <v>600</v>
      </c>
      <c r="P52" s="13"/>
      <c r="Q52" s="6">
        <f t="shared" si="44"/>
        <v>479371355083.01874</v>
      </c>
      <c r="R52" s="6"/>
      <c r="S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4:44" ht="15.75">
      <c r="D53" s="2">
        <f t="shared" si="36"/>
        <v>0.94162808069940851</v>
      </c>
      <c r="E53" s="2">
        <f t="shared" si="37"/>
        <v>-2.6120598687392839E-2</v>
      </c>
      <c r="F53" s="2">
        <f t="shared" si="38"/>
        <v>-3.0503572987884771</v>
      </c>
      <c r="G53" s="6">
        <f t="shared" si="39"/>
        <v>1.7614016061432763E-3</v>
      </c>
      <c r="H53" s="2">
        <f t="shared" si="45"/>
        <v>-0.29621568680955207</v>
      </c>
      <c r="I53" s="2">
        <f t="shared" si="40"/>
        <v>0.94672548918189381</v>
      </c>
      <c r="J53" s="4">
        <f t="shared" si="46"/>
        <v>0.7</v>
      </c>
      <c r="K53" s="6">
        <f t="shared" si="41"/>
        <v>1.3928313687755592E-4</v>
      </c>
      <c r="L53" s="9">
        <f t="shared" si="47"/>
        <v>207219879055280.06</v>
      </c>
      <c r="M53" s="6">
        <f t="shared" si="42"/>
        <v>2620542845137496.5</v>
      </c>
      <c r="N53" s="2">
        <f t="shared" si="43"/>
        <v>14.285714285714286</v>
      </c>
      <c r="O53" s="12">
        <v>700</v>
      </c>
      <c r="P53" s="13"/>
      <c r="Q53" s="6">
        <f t="shared" si="44"/>
        <v>343087512497.18158</v>
      </c>
      <c r="R53" s="6"/>
      <c r="S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4:44" ht="15.75">
      <c r="D54" s="2">
        <f t="shared" si="36"/>
        <v>0.94444967233765931</v>
      </c>
      <c r="E54" s="2">
        <f t="shared" si="37"/>
        <v>-2.4821179730911989E-2</v>
      </c>
      <c r="F54" s="2">
        <f t="shared" si="38"/>
        <v>-3.189537971534925</v>
      </c>
      <c r="G54" s="6">
        <f t="shared" si="39"/>
        <v>1.2784322428257969E-3</v>
      </c>
      <c r="H54" s="2">
        <f t="shared" si="45"/>
        <v>-0.29621568680955207</v>
      </c>
      <c r="I54" s="2">
        <f t="shared" si="40"/>
        <v>0.94672548918189381</v>
      </c>
      <c r="J54" s="4">
        <f t="shared" si="46"/>
        <v>0.7</v>
      </c>
      <c r="K54" s="6">
        <f t="shared" si="41"/>
        <v>1.2187274476786144E-4</v>
      </c>
      <c r="L54" s="9">
        <f t="shared" si="47"/>
        <v>212828510348435.22</v>
      </c>
      <c r="M54" s="6">
        <f t="shared" si="42"/>
        <v>2232548633743205</v>
      </c>
      <c r="N54" s="2">
        <f t="shared" si="43"/>
        <v>12.5</v>
      </c>
      <c r="O54" s="12">
        <v>800</v>
      </c>
      <c r="P54" s="13"/>
      <c r="Q54" s="20">
        <f t="shared" si="44"/>
        <v>256644215033.36908</v>
      </c>
      <c r="R54" s="20"/>
      <c r="S54" s="6"/>
    </row>
    <row r="55" spans="4:44" ht="15.75">
      <c r="D55" s="2">
        <f t="shared" si="36"/>
        <v>0.94672496327725386</v>
      </c>
      <c r="E55" s="2">
        <f t="shared" si="37"/>
        <v>-2.377617123941286E-2</v>
      </c>
      <c r="F55" s="2">
        <f t="shared" si="38"/>
        <v>-3.3123040254086407</v>
      </c>
      <c r="G55" s="6">
        <f t="shared" si="39"/>
        <v>9.6363299385508294E-4</v>
      </c>
      <c r="H55" s="2">
        <f t="shared" si="45"/>
        <v>-0.29621568680955207</v>
      </c>
      <c r="I55" s="2">
        <f t="shared" si="40"/>
        <v>0.94672548918189381</v>
      </c>
      <c r="J55" s="4">
        <f t="shared" si="46"/>
        <v>0.7</v>
      </c>
      <c r="K55" s="6">
        <f t="shared" si="41"/>
        <v>1.0833132868254351E-4</v>
      </c>
      <c r="L55" s="9">
        <f t="shared" si="47"/>
        <v>217901545107214.97</v>
      </c>
      <c r="M55" s="6">
        <f t="shared" si="42"/>
        <v>1938286189516197.2</v>
      </c>
      <c r="N55" s="2">
        <f t="shared" si="43"/>
        <v>11.111111111111111</v>
      </c>
      <c r="O55" s="12">
        <v>900</v>
      </c>
      <c r="P55" s="13"/>
      <c r="Q55" s="20">
        <f t="shared" si="44"/>
        <v>198599202845.73816</v>
      </c>
      <c r="R55" s="20"/>
      <c r="S55" s="6"/>
    </row>
    <row r="56" spans="4:44" ht="15.75">
      <c r="D56" s="2">
        <f t="shared" si="36"/>
        <v>0.94860890185601587</v>
      </c>
      <c r="E56" s="2">
        <f t="shared" si="37"/>
        <v>-2.2912804195209167E-2</v>
      </c>
      <c r="F56" s="2">
        <f t="shared" si="38"/>
        <v>-3.4221220027542603</v>
      </c>
      <c r="G56" s="6">
        <f t="shared" si="39"/>
        <v>7.4833090968450433E-4</v>
      </c>
      <c r="H56" s="2">
        <f t="shared" si="45"/>
        <v>-0.29621568680955207</v>
      </c>
      <c r="I56" s="2">
        <f t="shared" si="40"/>
        <v>0.94672548918189381</v>
      </c>
      <c r="J56" s="4">
        <f t="shared" si="46"/>
        <v>0.7</v>
      </c>
      <c r="K56" s="6">
        <f t="shared" si="41"/>
        <v>9.7498195814289148E-5</v>
      </c>
      <c r="L56" s="9">
        <f t="shared" si="47"/>
        <v>222541908339404.97</v>
      </c>
      <c r="M56" s="6">
        <f t="shared" si="42"/>
        <v>1708082773426515.5</v>
      </c>
      <c r="N56" s="2">
        <f t="shared" si="43"/>
        <v>10</v>
      </c>
      <c r="O56" s="12">
        <v>1000</v>
      </c>
      <c r="P56" s="13"/>
      <c r="Q56" s="6">
        <f t="shared" si="44"/>
        <v>157858442409.51151</v>
      </c>
      <c r="R56" s="6"/>
    </row>
    <row r="57" spans="4:44" ht="15.75">
      <c r="D57" s="2">
        <f t="shared" si="36"/>
        <v>0.95020159060104437</v>
      </c>
      <c r="E57" s="2">
        <f t="shared" si="37"/>
        <v>-2.2184246923887343E-2</v>
      </c>
      <c r="F57" s="2">
        <f t="shared" si="38"/>
        <v>-3.5214644471340004</v>
      </c>
      <c r="G57" s="6">
        <f t="shared" si="39"/>
        <v>5.9532105082568871E-4</v>
      </c>
      <c r="H57" s="2">
        <f t="shared" si="45"/>
        <v>-0.29621568680955207</v>
      </c>
      <c r="I57" s="2">
        <f t="shared" si="40"/>
        <v>0.94672548918189381</v>
      </c>
      <c r="J57" s="4">
        <f t="shared" si="46"/>
        <v>0.7</v>
      </c>
      <c r="K57" s="6">
        <f t="shared" si="41"/>
        <v>8.86347234675356E-5</v>
      </c>
      <c r="L57" s="9">
        <f t="shared" si="47"/>
        <v>226824699879569.84</v>
      </c>
      <c r="M57" s="6">
        <f t="shared" si="42"/>
        <v>1523483273854698.2</v>
      </c>
      <c r="N57" s="2">
        <f t="shared" si="43"/>
        <v>9.0909090909090917</v>
      </c>
      <c r="O57" s="12">
        <v>1100</v>
      </c>
      <c r="P57" s="13"/>
      <c r="Q57" s="6">
        <f t="shared" si="44"/>
        <v>128232724599.08502</v>
      </c>
      <c r="R57" s="6"/>
    </row>
    <row r="58" spans="4:44" ht="15.75">
      <c r="D58" s="2">
        <f t="shared" si="36"/>
        <v>0.9515708328039556</v>
      </c>
      <c r="E58" s="2">
        <f t="shared" si="37"/>
        <v>-2.1558878264055881E-2</v>
      </c>
      <c r="F58" s="2">
        <f t="shared" si="38"/>
        <v>-3.6121569932685604</v>
      </c>
      <c r="G58" s="6">
        <f t="shared" si="39"/>
        <v>4.8312409033777749E-4</v>
      </c>
      <c r="H58" s="2">
        <f t="shared" si="45"/>
        <v>-0.29621568680955207</v>
      </c>
      <c r="I58" s="2">
        <f t="shared" si="40"/>
        <v>0.94672548918189381</v>
      </c>
      <c r="J58" s="4">
        <f t="shared" si="46"/>
        <v>0.7</v>
      </c>
      <c r="K58" s="6">
        <f t="shared" si="41"/>
        <v>8.124849651190763E-5</v>
      </c>
      <c r="L58" s="9">
        <f t="shared" si="47"/>
        <v>230806511578935.31</v>
      </c>
      <c r="M58" s="6">
        <f t="shared" si="42"/>
        <v>1372433838628218.7</v>
      </c>
      <c r="N58" s="2">
        <f t="shared" si="43"/>
        <v>8.3333333333333339</v>
      </c>
      <c r="O58" s="12">
        <v>1200</v>
      </c>
      <c r="P58" s="13"/>
      <c r="Q58" s="6">
        <f t="shared" si="44"/>
        <v>106056698823.33592</v>
      </c>
      <c r="R58" s="6"/>
    </row>
    <row r="59" spans="4:44" ht="15.75">
      <c r="D59" s="2">
        <f t="shared" si="36"/>
        <v>0.95276433881797029</v>
      </c>
      <c r="E59" s="2">
        <f t="shared" si="37"/>
        <v>-2.1014506504719858E-2</v>
      </c>
      <c r="F59" s="2">
        <f t="shared" si="38"/>
        <v>-3.6955860482906688</v>
      </c>
      <c r="G59" s="6">
        <f t="shared" si="39"/>
        <v>3.9868476343828645E-4</v>
      </c>
      <c r="H59" s="2">
        <f t="shared" si="45"/>
        <v>-0.29621568680955207</v>
      </c>
      <c r="I59" s="2">
        <f t="shared" si="40"/>
        <v>0.94672548918189381</v>
      </c>
      <c r="J59" s="4">
        <f t="shared" si="46"/>
        <v>0.7</v>
      </c>
      <c r="K59" s="6">
        <f t="shared" si="41"/>
        <v>7.4998612164837812E-5</v>
      </c>
      <c r="L59" s="9">
        <f t="shared" si="47"/>
        <v>234531120441019.87</v>
      </c>
      <c r="M59" s="6">
        <f t="shared" si="42"/>
        <v>1246742860606992.5</v>
      </c>
      <c r="N59" s="2">
        <f t="shared" si="43"/>
        <v>7.6923076923076925</v>
      </c>
      <c r="O59" s="12">
        <v>1300</v>
      </c>
      <c r="P59" s="13"/>
      <c r="Q59" s="6">
        <f>L59/(1+L59/M59/K59)*D59</f>
        <v>89051758172.564102</v>
      </c>
      <c r="R59" s="6"/>
    </row>
    <row r="60" spans="4:44" ht="15.75">
      <c r="D60" s="2">
        <f>10^E60</f>
        <v>0.95475389035352765</v>
      </c>
      <c r="E60" s="2">
        <f>LOG(J60)/(1+(F60/(I60-0.14*F60))^2)</f>
        <v>-2.0108563323193954E-2</v>
      </c>
      <c r="F60" s="2">
        <f>LOG(G60)+H60</f>
        <v>-3.8447410244878957</v>
      </c>
      <c r="G60" s="6">
        <f>M60*K60/L60</f>
        <v>2.827969116406526E-4</v>
      </c>
      <c r="H60" s="2">
        <f>-0.4-0.67*LOG(J60)</f>
        <v>-0.29621568680955207</v>
      </c>
      <c r="I60" s="2">
        <f>0.75-1.27*LOG(J60)</f>
        <v>0.94672548918189381</v>
      </c>
      <c r="J60" s="4">
        <f t="shared" si="46"/>
        <v>0.7</v>
      </c>
      <c r="K60" s="6">
        <f>$P$48*101325/760/8.314/O60/1000000</f>
        <v>6.4998797209526099E-5</v>
      </c>
      <c r="L60" s="9">
        <f t="shared" si="47"/>
        <v>241340417502550.47</v>
      </c>
      <c r="M60" s="6">
        <f>$B$7*O60^$B$8*EXP(-$B$9/1.987/O60)</f>
        <v>1050024425894827.7</v>
      </c>
      <c r="N60" s="2">
        <f>10000/O60</f>
        <v>6.666666666666667</v>
      </c>
      <c r="O60" s="12">
        <v>1500</v>
      </c>
      <c r="P60" s="13"/>
      <c r="Q60" s="6">
        <f>L60/(1+L60/M60/K60)*D60</f>
        <v>65143840571.001282</v>
      </c>
      <c r="R60" s="6"/>
    </row>
    <row r="61" spans="4:44" ht="15.75">
      <c r="D61" s="2">
        <f>10^E61</f>
        <v>0.95704974520621977</v>
      </c>
      <c r="E61" s="2">
        <f>LOG(J61)/(1+(F61/(I61-0.14*F61))^2)</f>
        <v>-1.906548802557214E-2</v>
      </c>
      <c r="F61" s="2">
        <f>LOG(G61)+H61</f>
        <v>-4.0347760150021958</v>
      </c>
      <c r="G61" s="6">
        <f>M61*K61/L61</f>
        <v>1.8257431160277022E-4</v>
      </c>
      <c r="H61" s="2">
        <f>-0.4-0.67*LOG(J61)</f>
        <v>-0.29621568680955207</v>
      </c>
      <c r="I61" s="2">
        <f>0.75-1.27*LOG(J61)</f>
        <v>0.94672548918189381</v>
      </c>
      <c r="J61" s="4">
        <f t="shared" si="46"/>
        <v>0.7</v>
      </c>
      <c r="K61" s="6">
        <f>$P$48*101325/760/8.314/O61/1000000</f>
        <v>5.4165664341271753E-5</v>
      </c>
      <c r="L61" s="9">
        <f t="shared" si="47"/>
        <v>250303146415970.06</v>
      </c>
      <c r="M61" s="6">
        <f>$B$7*O61^$B$8*EXP(-$B$9/1.987/O61)</f>
        <v>843688067056211.62</v>
      </c>
      <c r="N61" s="2">
        <f>10000/O61</f>
        <v>5.5555555555555554</v>
      </c>
      <c r="O61" s="12">
        <v>1800</v>
      </c>
      <c r="P61" s="13"/>
      <c r="Q61" s="6">
        <f>L61/(1+L61/M61/K61)*D61</f>
        <v>43728160552.62043</v>
      </c>
      <c r="R61" s="6"/>
    </row>
    <row r="62" spans="4:44">
      <c r="D62" s="2" t="s">
        <v>4</v>
      </c>
      <c r="E62" s="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P62">
        <f>760*8.7</f>
        <v>6611.9999999999991</v>
      </c>
      <c r="Q62" t="s">
        <v>16</v>
      </c>
    </row>
    <row r="63" spans="4:44" ht="15.75">
      <c r="D63" s="2">
        <f t="shared" ref="D63:D73" si="48">10^E63</f>
        <v>0.91321796801441713</v>
      </c>
      <c r="E63" s="2">
        <f t="shared" ref="E63:E73" si="49">LOG(J63)/(1+(F63/(I63-0.14*F63))^2)</f>
        <v>-3.9425552139376104E-2</v>
      </c>
      <c r="F63" s="2">
        <f t="shared" ref="F63:F73" si="50">LOG(G63)+H63</f>
        <v>-2.1307837484547756</v>
      </c>
      <c r="G63" s="6">
        <f t="shared" ref="G63:G73" si="51">M63*K63/L63</f>
        <v>1.4636321424694712E-2</v>
      </c>
      <c r="H63" s="2">
        <f>-0.4-0.67*LOG(J63)</f>
        <v>-0.29621568680955207</v>
      </c>
      <c r="I63" s="2">
        <f t="shared" ref="I63:I73" si="52">0.75-1.27*LOG(J63)</f>
        <v>0.94672548918189381</v>
      </c>
      <c r="J63" s="4">
        <f>(1-$B$10)*EXP(-O63/$B$11)+$B$10*EXP(-O63/$B$12)+EXP(-B$13/O63)</f>
        <v>0.7</v>
      </c>
      <c r="K63" s="6">
        <f t="shared" ref="K63:K73" si="53">$P$62*101325/760/8.314/O63/1000000</f>
        <v>3.5343095982679813E-4</v>
      </c>
      <c r="L63" s="9">
        <f>B$4*O63^B$5*EXP(-B$6/1.987/O63)</f>
        <v>174918626629333.09</v>
      </c>
      <c r="M63" s="6">
        <f t="shared" ref="M63:M73" si="54">$B$7*O63^$B$8*EXP(-$B$9/1.987/O63)</f>
        <v>7243749228329386</v>
      </c>
      <c r="N63" s="2">
        <f t="shared" ref="N63:N73" si="55">10000/O63</f>
        <v>33.333333333333336</v>
      </c>
      <c r="O63" s="12">
        <v>300</v>
      </c>
      <c r="P63" s="13"/>
      <c r="Q63" s="20">
        <f t="shared" ref="Q63:Q73" si="56">L63/(1+L63/M63/K63)*D63</f>
        <v>2304262967115.2163</v>
      </c>
      <c r="R63" s="20"/>
      <c r="S63" s="6"/>
    </row>
    <row r="64" spans="4:44" ht="15.75">
      <c r="D64" s="2">
        <f t="shared" si="48"/>
        <v>0.92486961240882282</v>
      </c>
      <c r="E64" s="2">
        <f t="shared" si="49"/>
        <v>-3.3919489534224731E-2</v>
      </c>
      <c r="F64" s="2">
        <f t="shared" si="50"/>
        <v>-2.4306367163146954</v>
      </c>
      <c r="G64" s="6">
        <f t="shared" si="51"/>
        <v>7.3380213414116048E-3</v>
      </c>
      <c r="H64" s="2">
        <f t="shared" ref="H64:H73" si="57">-0.4-0.67*LOG(J64)</f>
        <v>-0.29621568680955207</v>
      </c>
      <c r="I64" s="2">
        <f t="shared" si="52"/>
        <v>0.94672548918189381</v>
      </c>
      <c r="J64" s="4">
        <f t="shared" ref="J64:J75" si="58">(1-$B$10)*EXP(-O64/$B$11)+$B$10*EXP(-O64/$B$12)+EXP(-B$13/O64)</f>
        <v>0.7</v>
      </c>
      <c r="K64" s="6">
        <f t="shared" si="53"/>
        <v>2.6507321987009858E-4</v>
      </c>
      <c r="L64" s="9">
        <f t="shared" ref="L64:L75" si="59">B$4*O64^B$5*EXP(-B$6/1.987/O64)</f>
        <v>185277979569305.25</v>
      </c>
      <c r="M64" s="6">
        <f t="shared" si="54"/>
        <v>5129049886063391</v>
      </c>
      <c r="N64" s="2">
        <f t="shared" si="55"/>
        <v>25</v>
      </c>
      <c r="O64" s="12">
        <v>400</v>
      </c>
      <c r="P64" s="13"/>
      <c r="Q64" s="6">
        <f t="shared" si="56"/>
        <v>1248268642076.1667</v>
      </c>
      <c r="R64" s="6"/>
    </row>
    <row r="65" spans="4:19" ht="15.75">
      <c r="D65" s="2">
        <f t="shared" si="48"/>
        <v>0.93210997181556776</v>
      </c>
      <c r="E65" s="2">
        <f t="shared" si="49"/>
        <v>-3.0532845870111177E-2</v>
      </c>
      <c r="F65" s="2">
        <f t="shared" si="50"/>
        <v>-2.6632207475340306</v>
      </c>
      <c r="G65" s="6">
        <f t="shared" si="51"/>
        <v>4.2953142151399212E-3</v>
      </c>
      <c r="H65" s="2">
        <f t="shared" si="57"/>
        <v>-0.29621568680955207</v>
      </c>
      <c r="I65" s="2">
        <f t="shared" si="52"/>
        <v>0.94672548918189381</v>
      </c>
      <c r="J65" s="4">
        <f t="shared" si="58"/>
        <v>0.7</v>
      </c>
      <c r="K65" s="6">
        <f t="shared" si="53"/>
        <v>2.1205857589607887E-4</v>
      </c>
      <c r="L65" s="9">
        <f t="shared" si="59"/>
        <v>193733983661863.44</v>
      </c>
      <c r="M65" s="6">
        <f t="shared" si="54"/>
        <v>3924143744067624</v>
      </c>
      <c r="N65" s="2">
        <f t="shared" si="55"/>
        <v>20</v>
      </c>
      <c r="O65" s="12">
        <v>500</v>
      </c>
      <c r="P65" s="13"/>
      <c r="Q65" s="6">
        <f t="shared" si="56"/>
        <v>772336332901.47876</v>
      </c>
      <c r="R65" s="6"/>
    </row>
    <row r="66" spans="4:19" ht="15.75">
      <c r="D66" s="2">
        <f t="shared" si="48"/>
        <v>0.93712347467060486</v>
      </c>
      <c r="E66" s="2">
        <f t="shared" si="49"/>
        <v>-2.820318303411019E-2</v>
      </c>
      <c r="F66" s="2">
        <f t="shared" si="50"/>
        <v>-2.8532557380483303</v>
      </c>
      <c r="G66" s="6">
        <f t="shared" si="51"/>
        <v>2.7730643570226051E-3</v>
      </c>
      <c r="H66" s="2">
        <f t="shared" si="57"/>
        <v>-0.29621568680955207</v>
      </c>
      <c r="I66" s="2">
        <f t="shared" si="52"/>
        <v>0.94672548918189381</v>
      </c>
      <c r="J66" s="4">
        <f t="shared" si="58"/>
        <v>0.7</v>
      </c>
      <c r="K66" s="6">
        <f t="shared" si="53"/>
        <v>1.7671547991339906E-4</v>
      </c>
      <c r="L66" s="9">
        <f t="shared" si="59"/>
        <v>200928738667455.53</v>
      </c>
      <c r="M66" s="6">
        <f t="shared" si="54"/>
        <v>3153024985549005</v>
      </c>
      <c r="N66" s="2">
        <f t="shared" si="55"/>
        <v>16.666666666666668</v>
      </c>
      <c r="O66" s="12">
        <v>600</v>
      </c>
      <c r="P66" s="13"/>
      <c r="Q66" s="6">
        <f t="shared" si="56"/>
        <v>520710294606.11816</v>
      </c>
      <c r="R66" s="6"/>
    </row>
    <row r="67" spans="4:19" ht="15.75">
      <c r="D67" s="2">
        <f t="shared" si="48"/>
        <v>0.94084297042816678</v>
      </c>
      <c r="E67" s="2">
        <f t="shared" si="49"/>
        <v>-2.6482855602898883E-2</v>
      </c>
      <c r="F67" s="2">
        <f t="shared" si="50"/>
        <v>-3.0139280331618021</v>
      </c>
      <c r="G67" s="6">
        <f t="shared" si="51"/>
        <v>1.9155242466808125E-3</v>
      </c>
      <c r="H67" s="2">
        <f t="shared" si="57"/>
        <v>-0.29621568680955207</v>
      </c>
      <c r="I67" s="2">
        <f t="shared" si="52"/>
        <v>0.94672548918189381</v>
      </c>
      <c r="J67" s="4">
        <f t="shared" si="58"/>
        <v>0.7</v>
      </c>
      <c r="K67" s="6">
        <f t="shared" si="53"/>
        <v>1.5147041135434204E-4</v>
      </c>
      <c r="L67" s="9">
        <f t="shared" si="59"/>
        <v>207219879055280.06</v>
      </c>
      <c r="M67" s="6">
        <f t="shared" si="54"/>
        <v>2620542845137496.5</v>
      </c>
      <c r="N67" s="2">
        <f t="shared" si="55"/>
        <v>14.285714285714286</v>
      </c>
      <c r="O67" s="12">
        <v>700</v>
      </c>
      <c r="P67" s="13"/>
      <c r="Q67" s="6">
        <f t="shared" si="56"/>
        <v>372739233737.57172</v>
      </c>
      <c r="R67" s="6"/>
    </row>
    <row r="68" spans="4:19" ht="15.75">
      <c r="D68" s="2">
        <f t="shared" si="48"/>
        <v>0.94373723240908447</v>
      </c>
      <c r="E68" s="2">
        <f t="shared" si="49"/>
        <v>-2.5148910787167991E-2</v>
      </c>
      <c r="F68" s="2">
        <f t="shared" si="50"/>
        <v>-3.1531087059082501</v>
      </c>
      <c r="G68" s="6">
        <f t="shared" si="51"/>
        <v>1.3902950640730541E-3</v>
      </c>
      <c r="H68" s="2">
        <f t="shared" si="57"/>
        <v>-0.29621568680955207</v>
      </c>
      <c r="I68" s="2">
        <f t="shared" si="52"/>
        <v>0.94672548918189381</v>
      </c>
      <c r="J68" s="4">
        <f t="shared" si="58"/>
        <v>0.7</v>
      </c>
      <c r="K68" s="6">
        <f t="shared" si="53"/>
        <v>1.3253660993504929E-4</v>
      </c>
      <c r="L68" s="9">
        <f t="shared" si="59"/>
        <v>212828510348435.22</v>
      </c>
      <c r="M68" s="6">
        <f t="shared" si="54"/>
        <v>2232548633743205</v>
      </c>
      <c r="N68" s="2">
        <f t="shared" si="55"/>
        <v>12.5</v>
      </c>
      <c r="O68" s="12">
        <v>800</v>
      </c>
      <c r="P68" s="13"/>
      <c r="Q68" s="6">
        <f t="shared" si="56"/>
        <v>278858891888.46222</v>
      </c>
      <c r="R68" s="6"/>
    </row>
    <row r="69" spans="4:19" ht="15.75">
      <c r="D69" s="2">
        <f t="shared" si="48"/>
        <v>0.94606926745569964</v>
      </c>
      <c r="E69" s="2">
        <f t="shared" si="49"/>
        <v>-2.4077065107193492E-2</v>
      </c>
      <c r="F69" s="2">
        <f t="shared" si="50"/>
        <v>-3.2758747597819657</v>
      </c>
      <c r="G69" s="6">
        <f t="shared" si="51"/>
        <v>1.0479508808174025E-3</v>
      </c>
      <c r="H69" s="2">
        <f t="shared" si="57"/>
        <v>-0.29621568680955207</v>
      </c>
      <c r="I69" s="2">
        <f t="shared" si="52"/>
        <v>0.94672548918189381</v>
      </c>
      <c r="J69" s="4">
        <f t="shared" si="58"/>
        <v>0.7</v>
      </c>
      <c r="K69" s="6">
        <f t="shared" si="53"/>
        <v>1.1781031994226604E-4</v>
      </c>
      <c r="L69" s="9">
        <f t="shared" si="59"/>
        <v>217901545107214.97</v>
      </c>
      <c r="M69" s="6">
        <f t="shared" si="54"/>
        <v>1938286189516197.2</v>
      </c>
      <c r="N69" s="2">
        <f t="shared" si="55"/>
        <v>11.111111111111111</v>
      </c>
      <c r="O69" s="12">
        <v>900</v>
      </c>
      <c r="P69" s="13"/>
      <c r="Q69" s="6">
        <f t="shared" si="56"/>
        <v>215808869991.90021</v>
      </c>
      <c r="R69" s="6"/>
    </row>
    <row r="70" spans="4:19" ht="15.75">
      <c r="D70" s="2">
        <f t="shared" si="48"/>
        <v>0.94799888386394404</v>
      </c>
      <c r="E70" s="2">
        <f t="shared" si="49"/>
        <v>-2.3192173982625231E-2</v>
      </c>
      <c r="F70" s="2">
        <f t="shared" si="50"/>
        <v>-3.3856927371275858</v>
      </c>
      <c r="G70" s="6">
        <f t="shared" si="51"/>
        <v>8.138098642818983E-4</v>
      </c>
      <c r="H70" s="2">
        <f t="shared" si="57"/>
        <v>-0.29621568680955207</v>
      </c>
      <c r="I70" s="2">
        <f t="shared" si="52"/>
        <v>0.94672548918189381</v>
      </c>
      <c r="J70" s="4">
        <f t="shared" si="58"/>
        <v>0.7</v>
      </c>
      <c r="K70" s="6">
        <f t="shared" si="53"/>
        <v>1.0602928794803943E-4</v>
      </c>
      <c r="L70" s="9">
        <f t="shared" si="59"/>
        <v>222541908339404.97</v>
      </c>
      <c r="M70" s="6">
        <f t="shared" si="54"/>
        <v>1708082773426515.5</v>
      </c>
      <c r="N70" s="2">
        <f t="shared" si="55"/>
        <v>10</v>
      </c>
      <c r="O70" s="12">
        <v>1000</v>
      </c>
      <c r="P70" s="13"/>
      <c r="Q70" s="6">
        <f t="shared" si="56"/>
        <v>171549435848.20911</v>
      </c>
      <c r="R70" s="6"/>
    </row>
    <row r="71" spans="4:19" ht="15.75">
      <c r="D71" s="2">
        <f t="shared" si="48"/>
        <v>0.9496292345499473</v>
      </c>
      <c r="E71" s="2">
        <f t="shared" si="49"/>
        <v>-2.2445923994187364E-2</v>
      </c>
      <c r="F71" s="2">
        <f t="shared" si="50"/>
        <v>-3.4850351815073259</v>
      </c>
      <c r="G71" s="6">
        <f t="shared" si="51"/>
        <v>6.474116427729363E-4</v>
      </c>
      <c r="H71" s="2">
        <f t="shared" si="57"/>
        <v>-0.29621568680955207</v>
      </c>
      <c r="I71" s="2">
        <f t="shared" si="52"/>
        <v>0.94672548918189381</v>
      </c>
      <c r="J71" s="4">
        <f t="shared" si="58"/>
        <v>0.7</v>
      </c>
      <c r="K71" s="6">
        <f t="shared" si="53"/>
        <v>9.6390261770944944E-5</v>
      </c>
      <c r="L71" s="9">
        <f t="shared" si="59"/>
        <v>226824699879569.84</v>
      </c>
      <c r="M71" s="6">
        <f t="shared" si="54"/>
        <v>1523483273854698.2</v>
      </c>
      <c r="N71" s="2">
        <f t="shared" si="55"/>
        <v>9.0909090909090917</v>
      </c>
      <c r="O71" s="12">
        <v>1100</v>
      </c>
      <c r="P71" s="13"/>
      <c r="Q71" s="6">
        <f t="shared" si="56"/>
        <v>139361833001.12314</v>
      </c>
      <c r="R71" s="6"/>
    </row>
    <row r="72" spans="4:19" ht="15.75">
      <c r="D72" s="2">
        <f t="shared" si="48"/>
        <v>0.95103013620384058</v>
      </c>
      <c r="E72" s="2">
        <f t="shared" si="49"/>
        <v>-2.1805720938857857E-2</v>
      </c>
      <c r="F72" s="2">
        <f t="shared" si="50"/>
        <v>-3.5757277276418855</v>
      </c>
      <c r="G72" s="6">
        <f t="shared" si="51"/>
        <v>5.2539744824233294E-4</v>
      </c>
      <c r="H72" s="2">
        <f t="shared" si="57"/>
        <v>-0.29621568680955207</v>
      </c>
      <c r="I72" s="2">
        <f t="shared" si="52"/>
        <v>0.94672548918189381</v>
      </c>
      <c r="J72" s="4">
        <f t="shared" si="58"/>
        <v>0.7</v>
      </c>
      <c r="K72" s="6">
        <f t="shared" si="53"/>
        <v>8.8357739956699532E-5</v>
      </c>
      <c r="L72" s="9">
        <f t="shared" si="59"/>
        <v>230806511578935.31</v>
      </c>
      <c r="M72" s="6">
        <f t="shared" si="54"/>
        <v>1372433838628218.7</v>
      </c>
      <c r="N72" s="2">
        <f t="shared" si="55"/>
        <v>8.3333333333333339</v>
      </c>
      <c r="O72" s="12">
        <v>1200</v>
      </c>
      <c r="P72" s="13"/>
      <c r="Q72" s="6">
        <f t="shared" si="56"/>
        <v>115266253638.26012</v>
      </c>
      <c r="R72" s="6"/>
    </row>
    <row r="73" spans="4:19" ht="15.75">
      <c r="D73" s="2">
        <f t="shared" si="48"/>
        <v>0.95225068320030826</v>
      </c>
      <c r="E73" s="2">
        <f t="shared" si="49"/>
        <v>-2.1248707078654418E-2</v>
      </c>
      <c r="F73" s="2">
        <f t="shared" si="50"/>
        <v>-3.6591567826639939</v>
      </c>
      <c r="G73" s="6">
        <f t="shared" si="51"/>
        <v>4.3356968023913642E-4</v>
      </c>
      <c r="H73" s="2">
        <f t="shared" si="57"/>
        <v>-0.29621568680955207</v>
      </c>
      <c r="I73" s="2">
        <f t="shared" si="52"/>
        <v>0.94672548918189381</v>
      </c>
      <c r="J73" s="4">
        <f t="shared" si="58"/>
        <v>0.7</v>
      </c>
      <c r="K73" s="6">
        <f t="shared" si="53"/>
        <v>8.1560990729261107E-5</v>
      </c>
      <c r="L73" s="9">
        <f t="shared" si="59"/>
        <v>234531120441019.87</v>
      </c>
      <c r="M73" s="6">
        <f t="shared" si="54"/>
        <v>1246742860606992.5</v>
      </c>
      <c r="N73" s="2">
        <f t="shared" si="55"/>
        <v>7.6923076923076925</v>
      </c>
      <c r="O73" s="12">
        <v>1300</v>
      </c>
      <c r="P73" s="13"/>
      <c r="Q73" s="6">
        <f t="shared" si="56"/>
        <v>96788201354.577194</v>
      </c>
      <c r="R73" s="6"/>
    </row>
    <row r="74" spans="4:19" ht="15.75">
      <c r="D74" s="2">
        <f>10^E74</f>
        <v>0.95428413173717064</v>
      </c>
      <c r="E74" s="2">
        <f>LOG(J74)/(1+(F74/(I74-0.14*F74))^2)</f>
        <v>-2.0322297755580629E-2</v>
      </c>
      <c r="F74" s="2">
        <f>LOG(G74)+H74</f>
        <v>-3.8083117588612208</v>
      </c>
      <c r="G74" s="6">
        <f>M74*K74/L74</f>
        <v>3.075416414092097E-4</v>
      </c>
      <c r="H74" s="2">
        <f>-0.4-0.67*LOG(J74)</f>
        <v>-0.29621568680955207</v>
      </c>
      <c r="I74" s="2">
        <f>0.75-1.27*LOG(J74)</f>
        <v>0.94672548918189381</v>
      </c>
      <c r="J74" s="4">
        <f t="shared" si="58"/>
        <v>0.7</v>
      </c>
      <c r="K74" s="6">
        <f>$P$62*101325/760/8.314/O74/1000000</f>
        <v>7.0686191965359631E-5</v>
      </c>
      <c r="L74" s="9">
        <f t="shared" si="59"/>
        <v>241340417502550.47</v>
      </c>
      <c r="M74" s="6">
        <f>$B$7*O74^$B$8*EXP(-$B$9/1.987/O74)</f>
        <v>1050024425894827.7</v>
      </c>
      <c r="N74" s="2">
        <f>10000/O74</f>
        <v>6.666666666666667</v>
      </c>
      <c r="O74" s="12">
        <v>1500</v>
      </c>
      <c r="P74" s="13"/>
      <c r="Q74" s="6">
        <f>L74/(1+L74/M74/K74)*D74</f>
        <v>70807318334.523773</v>
      </c>
      <c r="R74" s="6"/>
    </row>
    <row r="75" spans="4:19" ht="15.75">
      <c r="D75" s="2">
        <f>10^E75</f>
        <v>0.95662875024647065</v>
      </c>
      <c r="E75" s="2">
        <f>LOG(J75)/(1+(F75/(I75-0.14*F75))^2)</f>
        <v>-1.9256571105945471E-2</v>
      </c>
      <c r="F75" s="2">
        <f>LOG(G75)+H75</f>
        <v>-3.9983467493755205</v>
      </c>
      <c r="G75" s="6">
        <f>M75*K75/L75</f>
        <v>1.9854956386801254E-4</v>
      </c>
      <c r="H75" s="2">
        <f>-0.4-0.67*LOG(J75)</f>
        <v>-0.29621568680955207</v>
      </c>
      <c r="I75" s="2">
        <f>0.75-1.27*LOG(J75)</f>
        <v>0.94672548918189381</v>
      </c>
      <c r="J75" s="4">
        <f t="shared" si="58"/>
        <v>0.7</v>
      </c>
      <c r="K75" s="6">
        <f>$P$62*101325/760/8.314/O75/1000000</f>
        <v>5.8905159971133019E-5</v>
      </c>
      <c r="L75" s="9">
        <f t="shared" si="59"/>
        <v>250303146415970.06</v>
      </c>
      <c r="M75" s="6">
        <f>$B$7*O75^$B$8*EXP(-$B$9/1.987/O75)</f>
        <v>843688067056211.62</v>
      </c>
      <c r="N75" s="2">
        <f>10000/O75</f>
        <v>5.5555555555555554</v>
      </c>
      <c r="O75" s="12">
        <v>1800</v>
      </c>
      <c r="P75" s="13"/>
      <c r="Q75" s="6">
        <f>L75/(1+L75/M75/K75)*D75</f>
        <v>47532696781.040169</v>
      </c>
      <c r="R75" s="6"/>
    </row>
    <row r="76" spans="4:19">
      <c r="D76" s="2" t="s">
        <v>4</v>
      </c>
      <c r="E76" s="2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13</v>
      </c>
      <c r="N76" s="2" t="s">
        <v>14</v>
      </c>
      <c r="P76">
        <f>760*10</f>
        <v>7600</v>
      </c>
      <c r="Q76" s="6" t="s">
        <v>16</v>
      </c>
    </row>
    <row r="77" spans="4:19" ht="15.75">
      <c r="D77" s="2">
        <f t="shared" ref="D77:D87" si="60">10^E77</f>
        <v>0.91047723166268391</v>
      </c>
      <c r="E77" s="2">
        <f t="shared" ref="E77:E87" si="61">LOG(J77)/(1+(F77/(I77-0.14*F77))^2)</f>
        <v>-4.0730910151207556E-2</v>
      </c>
      <c r="F77" s="2">
        <f t="shared" ref="F77:F87" si="62">LOG(G77)+H77</f>
        <v>-2.0703030010733938</v>
      </c>
      <c r="G77" s="6">
        <f t="shared" ref="G77:G87" si="63">M77*K77/L77</f>
        <v>1.6823357959419215E-2</v>
      </c>
      <c r="H77" s="2">
        <f>-0.4-0.67*LOG(J77)</f>
        <v>-0.29621568680955207</v>
      </c>
      <c r="I77" s="2">
        <f t="shared" ref="I77:I87" si="64">0.75-1.27*LOG(J77)</f>
        <v>0.94672548918189381</v>
      </c>
      <c r="J77" s="4">
        <f>(1-$B$10)*EXP(-O77/$B$11)+$B$10*EXP(-O77/$B$12)+EXP(-B$13/O77)</f>
        <v>0.7</v>
      </c>
      <c r="K77" s="6">
        <f t="shared" ref="K77:K87" si="65">$P$76*101325/760/8.314/O77/1000000</f>
        <v>4.0624248255953814E-4</v>
      </c>
      <c r="L77" s="9">
        <f>B$4*O77^B$5*EXP(-B$6/1.987/O77)</f>
        <v>174918626629333.09</v>
      </c>
      <c r="M77" s="6">
        <f t="shared" ref="M77:M87" si="66">$B$7*O77^$B$8*EXP(-$B$9/1.987/O77)</f>
        <v>7243749228329386</v>
      </c>
      <c r="N77" s="2">
        <f t="shared" ref="N77:N87" si="67">10000/O77</f>
        <v>33.333333333333336</v>
      </c>
      <c r="O77" s="12">
        <v>300</v>
      </c>
      <c r="P77" s="13"/>
      <c r="Q77" s="6">
        <f t="shared" ref="Q77:Q87" si="68">L77/(1+L77/M77/K77)*D77</f>
        <v>2634949646707.1772</v>
      </c>
      <c r="R77" s="6"/>
    </row>
    <row r="78" spans="4:19" ht="15.75">
      <c r="D78" s="2">
        <f t="shared" si="60"/>
        <v>0.92275177636013839</v>
      </c>
      <c r="E78" s="2">
        <f t="shared" si="61"/>
        <v>-3.4915110084986406E-2</v>
      </c>
      <c r="F78" s="2">
        <f t="shared" si="62"/>
        <v>-2.370155968933314</v>
      </c>
      <c r="G78" s="6">
        <f t="shared" si="63"/>
        <v>8.4345072889788573E-3</v>
      </c>
      <c r="H78" s="2">
        <f t="shared" ref="H78:H87" si="69">-0.4-0.67*LOG(J78)</f>
        <v>-0.29621568680955207</v>
      </c>
      <c r="I78" s="2">
        <f t="shared" si="64"/>
        <v>0.94672548918189381</v>
      </c>
      <c r="J78" s="4">
        <f t="shared" ref="J78:J89" si="70">(1-$B$10)*EXP(-O78/$B$11)+$B$10*EXP(-O78/$B$12)+EXP(-B$13/O78)</f>
        <v>0.7</v>
      </c>
      <c r="K78" s="6">
        <f t="shared" si="65"/>
        <v>3.046818619196536E-4</v>
      </c>
      <c r="L78" s="9">
        <f t="shared" ref="L78:L89" si="71">B$4*O78^B$5*EXP(-B$6/1.987/O78)</f>
        <v>185277979569305.25</v>
      </c>
      <c r="M78" s="6">
        <f t="shared" si="66"/>
        <v>5129049886063391</v>
      </c>
      <c r="N78" s="2">
        <f t="shared" si="67"/>
        <v>25</v>
      </c>
      <c r="O78" s="12">
        <v>400</v>
      </c>
      <c r="P78" s="13"/>
      <c r="Q78" s="20">
        <f t="shared" si="68"/>
        <v>1429949550979.5679</v>
      </c>
      <c r="R78" s="20"/>
      <c r="S78" s="6"/>
    </row>
    <row r="79" spans="4:19" ht="15.75">
      <c r="D79" s="2">
        <f t="shared" si="60"/>
        <v>0.93035431796393808</v>
      </c>
      <c r="E79" s="2">
        <f t="shared" si="61"/>
        <v>-3.1351622380265738E-2</v>
      </c>
      <c r="F79" s="2">
        <f t="shared" si="62"/>
        <v>-2.6027400001526493</v>
      </c>
      <c r="G79" s="6">
        <f t="shared" si="63"/>
        <v>4.9371427760228999E-3</v>
      </c>
      <c r="H79" s="2">
        <f t="shared" si="69"/>
        <v>-0.29621568680955207</v>
      </c>
      <c r="I79" s="2">
        <f t="shared" si="64"/>
        <v>0.94672548918189381</v>
      </c>
      <c r="J79" s="4">
        <f t="shared" si="70"/>
        <v>0.7</v>
      </c>
      <c r="K79" s="6">
        <f t="shared" si="65"/>
        <v>2.4374548953572288E-4</v>
      </c>
      <c r="L79" s="9">
        <f t="shared" si="71"/>
        <v>193733983661863.44</v>
      </c>
      <c r="M79" s="6">
        <f t="shared" si="66"/>
        <v>3924143744067624</v>
      </c>
      <c r="N79" s="2">
        <f t="shared" si="67"/>
        <v>20</v>
      </c>
      <c r="O79" s="12">
        <v>500</v>
      </c>
      <c r="P79" s="13"/>
      <c r="Q79" s="6">
        <f t="shared" si="68"/>
        <v>885504912488.72876</v>
      </c>
      <c r="R79" s="6"/>
    </row>
    <row r="80" spans="4:19" ht="15.75">
      <c r="D80" s="2">
        <f t="shared" si="60"/>
        <v>0.93560544464631723</v>
      </c>
      <c r="E80" s="2">
        <f t="shared" si="61"/>
        <v>-2.8907259529653132E-2</v>
      </c>
      <c r="F80" s="2">
        <f t="shared" si="62"/>
        <v>-2.792774990666949</v>
      </c>
      <c r="G80" s="6">
        <f t="shared" si="63"/>
        <v>3.1874302954282819E-3</v>
      </c>
      <c r="H80" s="2">
        <f t="shared" si="69"/>
        <v>-0.29621568680955207</v>
      </c>
      <c r="I80" s="2">
        <f t="shared" si="64"/>
        <v>0.94672548918189381</v>
      </c>
      <c r="J80" s="4">
        <f t="shared" si="70"/>
        <v>0.7</v>
      </c>
      <c r="K80" s="6">
        <f t="shared" si="65"/>
        <v>2.0312124127976907E-4</v>
      </c>
      <c r="L80" s="9">
        <f t="shared" si="71"/>
        <v>200928738667455.53</v>
      </c>
      <c r="M80" s="6">
        <f t="shared" si="66"/>
        <v>3153024985549005</v>
      </c>
      <c r="N80" s="2">
        <f t="shared" si="67"/>
        <v>16.666666666666668</v>
      </c>
      <c r="O80" s="12">
        <v>600</v>
      </c>
      <c r="P80" s="13"/>
      <c r="Q80" s="6">
        <f t="shared" si="68"/>
        <v>597301234936.96558</v>
      </c>
      <c r="R80" s="6"/>
      <c r="S80" s="6"/>
    </row>
    <row r="81" spans="4:19" ht="15.75">
      <c r="D81" s="2">
        <f t="shared" si="60"/>
        <v>0.93949353513001843</v>
      </c>
      <c r="E81" s="2">
        <f t="shared" si="61"/>
        <v>-2.7106204032874674E-2</v>
      </c>
      <c r="F81" s="2">
        <f t="shared" si="62"/>
        <v>-2.9534472857804204</v>
      </c>
      <c r="G81" s="6">
        <f t="shared" si="63"/>
        <v>2.2017520076790952E-3</v>
      </c>
      <c r="H81" s="2">
        <f t="shared" si="69"/>
        <v>-0.29621568680955207</v>
      </c>
      <c r="I81" s="2">
        <f t="shared" si="64"/>
        <v>0.94672548918189381</v>
      </c>
      <c r="J81" s="4">
        <f t="shared" si="70"/>
        <v>0.7</v>
      </c>
      <c r="K81" s="6">
        <f t="shared" si="65"/>
        <v>1.7410392109694489E-4</v>
      </c>
      <c r="L81" s="9">
        <f t="shared" si="71"/>
        <v>207219879055280.06</v>
      </c>
      <c r="M81" s="6">
        <f t="shared" si="66"/>
        <v>2620542845137496.5</v>
      </c>
      <c r="N81" s="2">
        <f t="shared" si="67"/>
        <v>14.285714285714286</v>
      </c>
      <c r="O81" s="12">
        <v>700</v>
      </c>
      <c r="P81" s="13"/>
      <c r="Q81" s="6">
        <f t="shared" si="68"/>
        <v>427699217078.12537</v>
      </c>
      <c r="R81" s="6"/>
    </row>
    <row r="82" spans="4:19" ht="15.75">
      <c r="D82" s="2">
        <f t="shared" si="60"/>
        <v>0.9425141206324894</v>
      </c>
      <c r="E82" s="2">
        <f t="shared" si="61"/>
        <v>-2.5712134526060682E-2</v>
      </c>
      <c r="F82" s="2">
        <f t="shared" si="62"/>
        <v>-3.0926279585268683</v>
      </c>
      <c r="G82" s="6">
        <f t="shared" si="63"/>
        <v>1.5980403035322462E-3</v>
      </c>
      <c r="H82" s="2">
        <f t="shared" si="69"/>
        <v>-0.29621568680955207</v>
      </c>
      <c r="I82" s="2">
        <f t="shared" si="64"/>
        <v>0.94672548918189381</v>
      </c>
      <c r="J82" s="4">
        <f t="shared" si="70"/>
        <v>0.7</v>
      </c>
      <c r="K82" s="6">
        <f t="shared" si="65"/>
        <v>1.523409309598268E-4</v>
      </c>
      <c r="L82" s="9">
        <f t="shared" si="71"/>
        <v>212828510348435.22</v>
      </c>
      <c r="M82" s="6">
        <f t="shared" si="66"/>
        <v>2232548633743205</v>
      </c>
      <c r="N82" s="2">
        <f t="shared" si="67"/>
        <v>12.5</v>
      </c>
      <c r="O82" s="12">
        <v>800</v>
      </c>
      <c r="P82" s="13"/>
      <c r="Q82" s="6">
        <f t="shared" si="68"/>
        <v>320045653079.14197</v>
      </c>
      <c r="R82" s="6"/>
    </row>
    <row r="83" spans="4:19" ht="15.75">
      <c r="D83" s="2">
        <f t="shared" si="60"/>
        <v>0.9449446747918232</v>
      </c>
      <c r="E83" s="2">
        <f t="shared" si="61"/>
        <v>-2.459361808967267E-2</v>
      </c>
      <c r="F83" s="2">
        <f t="shared" si="62"/>
        <v>-3.215394012400584</v>
      </c>
      <c r="G83" s="6">
        <f t="shared" si="63"/>
        <v>1.2045412423188537E-3</v>
      </c>
      <c r="H83" s="2">
        <f t="shared" si="69"/>
        <v>-0.29621568680955207</v>
      </c>
      <c r="I83" s="2">
        <f t="shared" si="64"/>
        <v>0.94672548918189381</v>
      </c>
      <c r="J83" s="4">
        <f t="shared" si="70"/>
        <v>0.7</v>
      </c>
      <c r="K83" s="6">
        <f t="shared" si="65"/>
        <v>1.3541416085317937E-4</v>
      </c>
      <c r="L83" s="9">
        <f t="shared" si="71"/>
        <v>217901545107214.97</v>
      </c>
      <c r="M83" s="6">
        <f t="shared" si="66"/>
        <v>1938286189516197.2</v>
      </c>
      <c r="N83" s="2">
        <f t="shared" si="67"/>
        <v>11.111111111111111</v>
      </c>
      <c r="O83" s="12">
        <v>900</v>
      </c>
      <c r="P83" s="13"/>
      <c r="Q83" s="6">
        <f t="shared" si="68"/>
        <v>247722557643.01703</v>
      </c>
      <c r="R83" s="6"/>
    </row>
    <row r="84" spans="4:19" ht="15.75">
      <c r="D84" s="2">
        <f t="shared" si="60"/>
        <v>0.94729716092210592</v>
      </c>
      <c r="E84" s="2">
        <f t="shared" si="61"/>
        <v>-2.3513764286397454E-2</v>
      </c>
      <c r="F84" s="2">
        <f t="shared" si="62"/>
        <v>-3.3448300313616279</v>
      </c>
      <c r="G84" s="6">
        <f t="shared" si="63"/>
        <v>8.9409909532287815E-4</v>
      </c>
      <c r="H84" s="2">
        <f t="shared" si="69"/>
        <v>-0.29621568680955207</v>
      </c>
      <c r="I84" s="2">
        <f t="shared" si="64"/>
        <v>0.94672548918189381</v>
      </c>
      <c r="J84" s="4">
        <f t="shared" si="70"/>
        <v>0.7</v>
      </c>
      <c r="K84" s="6">
        <f t="shared" si="65"/>
        <v>1.1960033833941261E-4</v>
      </c>
      <c r="L84" s="9">
        <f t="shared" si="71"/>
        <v>223381212888096.81</v>
      </c>
      <c r="M84" s="6">
        <f t="shared" si="66"/>
        <v>1669936248746865.5</v>
      </c>
      <c r="N84" s="2">
        <f t="shared" si="67"/>
        <v>9.8135426889106974</v>
      </c>
      <c r="O84" s="12">
        <v>1019</v>
      </c>
      <c r="P84" s="13"/>
      <c r="Q84" s="6">
        <f t="shared" si="68"/>
        <v>189029857539.36835</v>
      </c>
      <c r="R84" s="6"/>
      <c r="S84" s="6"/>
    </row>
    <row r="85" spans="4:19" ht="15.75">
      <c r="D85" s="2">
        <f t="shared" si="60"/>
        <v>0.94864912304795646</v>
      </c>
      <c r="E85" s="2">
        <f t="shared" si="61"/>
        <v>-2.2894390419656577E-2</v>
      </c>
      <c r="F85" s="2">
        <f t="shared" si="62"/>
        <v>-3.4245544341259442</v>
      </c>
      <c r="G85" s="6">
        <f t="shared" si="63"/>
        <v>7.4415131353211083E-4</v>
      </c>
      <c r="H85" s="2">
        <f t="shared" si="69"/>
        <v>-0.29621568680955207</v>
      </c>
      <c r="I85" s="2">
        <f t="shared" si="64"/>
        <v>0.94672548918189381</v>
      </c>
      <c r="J85" s="4">
        <f t="shared" si="70"/>
        <v>0.7</v>
      </c>
      <c r="K85" s="6">
        <f t="shared" si="65"/>
        <v>1.107934043344195E-4</v>
      </c>
      <c r="L85" s="9">
        <f t="shared" si="71"/>
        <v>226824699879569.84</v>
      </c>
      <c r="M85" s="6">
        <f t="shared" si="66"/>
        <v>1523483273854698.2</v>
      </c>
      <c r="N85" s="2">
        <f t="shared" si="67"/>
        <v>9.0909090909090917</v>
      </c>
      <c r="O85" s="12">
        <v>1100</v>
      </c>
      <c r="P85" s="13"/>
      <c r="Q85" s="6">
        <f t="shared" si="68"/>
        <v>160005218260.54068</v>
      </c>
      <c r="R85" s="6"/>
    </row>
    <row r="86" spans="4:19" ht="15.75">
      <c r="D86" s="2">
        <f t="shared" si="60"/>
        <v>0.95010483764707743</v>
      </c>
      <c r="E86" s="2">
        <f t="shared" si="61"/>
        <v>-2.2228470606370648E-2</v>
      </c>
      <c r="F86" s="2">
        <f t="shared" si="62"/>
        <v>-3.5152469802605042</v>
      </c>
      <c r="G86" s="6">
        <f t="shared" si="63"/>
        <v>6.0390511292222188E-4</v>
      </c>
      <c r="H86" s="2">
        <f t="shared" si="69"/>
        <v>-0.29621568680955207</v>
      </c>
      <c r="I86" s="2">
        <f t="shared" si="64"/>
        <v>0.94672548918189381</v>
      </c>
      <c r="J86" s="4">
        <f t="shared" si="70"/>
        <v>0.7</v>
      </c>
      <c r="K86" s="6">
        <f t="shared" si="65"/>
        <v>1.0156062063988453E-4</v>
      </c>
      <c r="L86" s="9">
        <f t="shared" si="71"/>
        <v>230806511578935.31</v>
      </c>
      <c r="M86" s="6">
        <f t="shared" si="66"/>
        <v>1372433838628218.7</v>
      </c>
      <c r="N86" s="2">
        <f t="shared" si="67"/>
        <v>8.3333333333333339</v>
      </c>
      <c r="O86" s="12">
        <v>1200</v>
      </c>
      <c r="P86" s="13"/>
      <c r="Q86" s="6">
        <f t="shared" si="68"/>
        <v>132350656398.05675</v>
      </c>
      <c r="R86" s="6"/>
    </row>
    <row r="87" spans="4:19" ht="15.75">
      <c r="D87" s="2">
        <f t="shared" si="60"/>
        <v>0.95137216692511772</v>
      </c>
      <c r="E87" s="2">
        <f t="shared" si="61"/>
        <v>-2.1649558326724563E-2</v>
      </c>
      <c r="F87" s="2">
        <f t="shared" si="62"/>
        <v>-3.5986760352826122</v>
      </c>
      <c r="G87" s="6">
        <f t="shared" si="63"/>
        <v>4.983559542978581E-4</v>
      </c>
      <c r="H87" s="2">
        <f t="shared" si="69"/>
        <v>-0.29621568680955207</v>
      </c>
      <c r="I87" s="2">
        <f t="shared" si="64"/>
        <v>0.94672548918189381</v>
      </c>
      <c r="J87" s="4">
        <f t="shared" si="70"/>
        <v>0.7</v>
      </c>
      <c r="K87" s="6">
        <f t="shared" si="65"/>
        <v>9.3748265206047265E-5</v>
      </c>
      <c r="L87" s="9">
        <f t="shared" si="71"/>
        <v>234531120441019.87</v>
      </c>
      <c r="M87" s="6">
        <f t="shared" si="66"/>
        <v>1246742860606992.5</v>
      </c>
      <c r="N87" s="2">
        <f t="shared" si="67"/>
        <v>7.6923076923076925</v>
      </c>
      <c r="O87" s="12">
        <v>1300</v>
      </c>
      <c r="P87" s="13"/>
      <c r="Q87" s="6">
        <f t="shared" si="68"/>
        <v>111140972400.80231</v>
      </c>
      <c r="R87" s="6"/>
    </row>
    <row r="88" spans="4:19" ht="15.75">
      <c r="D88" s="2">
        <f>10^E88</f>
        <v>0.95348148740390637</v>
      </c>
      <c r="E88" s="2">
        <f>LOG(J88)/(1+(F88/(I88-0.14*F88))^2)</f>
        <v>-2.0687734706469927E-2</v>
      </c>
      <c r="F88" s="2">
        <f>LOG(G88)+H88</f>
        <v>-3.747831011479839</v>
      </c>
      <c r="G88" s="6">
        <f>M88*K88/L88</f>
        <v>3.5349613955081575E-4</v>
      </c>
      <c r="H88" s="2">
        <f>-0.4-0.67*LOG(J88)</f>
        <v>-0.29621568680955207</v>
      </c>
      <c r="I88" s="2">
        <f>0.75-1.27*LOG(J88)</f>
        <v>0.94672548918189381</v>
      </c>
      <c r="J88" s="4">
        <f t="shared" si="70"/>
        <v>0.7</v>
      </c>
      <c r="K88" s="6">
        <f>$P$76*101325/760/8.314/O88/1000000</f>
        <v>8.124849651190763E-5</v>
      </c>
      <c r="L88" s="9">
        <f t="shared" si="71"/>
        <v>241340417502550.47</v>
      </c>
      <c r="M88" s="6">
        <f>$B$7*O88^$B$8*EXP(-$B$9/1.987/O88)</f>
        <v>1050024425894827.7</v>
      </c>
      <c r="N88" s="2">
        <f>10000/O88</f>
        <v>6.666666666666667</v>
      </c>
      <c r="O88" s="12">
        <v>1500</v>
      </c>
      <c r="P88" s="13"/>
      <c r="Q88" s="6">
        <f>L88/(1+L88/M88/K88)*D88</f>
        <v>81315531690.256989</v>
      </c>
      <c r="R88" s="6"/>
    </row>
    <row r="89" spans="4:19" ht="15.75">
      <c r="D89" s="2">
        <f>10^E89</f>
        <v>0.95591027666883333</v>
      </c>
      <c r="E89" s="2">
        <f>LOG(J89)/(1+(F89/(I89-0.14*F89))^2)</f>
        <v>-1.9582869414579467E-2</v>
      </c>
      <c r="F89" s="2">
        <f>LOG(G89)+H89</f>
        <v>-3.9378660019941392</v>
      </c>
      <c r="G89" s="6">
        <f>M89*K89/L89</f>
        <v>2.2821788950346276E-4</v>
      </c>
      <c r="H89" s="2">
        <f>-0.4-0.67*LOG(J89)</f>
        <v>-0.29621568680955207</v>
      </c>
      <c r="I89" s="2">
        <f>0.75-1.27*LOG(J89)</f>
        <v>0.94672548918189381</v>
      </c>
      <c r="J89" s="4">
        <f t="shared" si="70"/>
        <v>0.7</v>
      </c>
      <c r="K89" s="6">
        <f>$P$76*101325/760/8.314/O89/1000000</f>
        <v>6.7707080426589685E-5</v>
      </c>
      <c r="L89" s="9">
        <f t="shared" si="71"/>
        <v>250303146415970.06</v>
      </c>
      <c r="M89" s="6">
        <f>$B$7*O89^$B$8*EXP(-$B$9/1.987/O89)</f>
        <v>843688067056211.62</v>
      </c>
      <c r="N89" s="2">
        <f>10000/O89</f>
        <v>5.5555555555555554</v>
      </c>
      <c r="O89" s="12">
        <v>1800</v>
      </c>
      <c r="P89" s="13"/>
      <c r="Q89" s="6">
        <f>L89/(1+L89/M89/K89)*D89</f>
        <v>54592630615.809868</v>
      </c>
      <c r="R89" s="6"/>
    </row>
    <row r="90" spans="4:19">
      <c r="D90" s="2" t="s">
        <v>4</v>
      </c>
      <c r="E90" s="2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s="2" t="s">
        <v>14</v>
      </c>
      <c r="P90">
        <f>760*11</f>
        <v>8360</v>
      </c>
      <c r="Q90" s="6" t="s">
        <v>16</v>
      </c>
    </row>
    <row r="91" spans="4:19" ht="15.75">
      <c r="D91" s="2">
        <f t="shared" ref="D91:D101" si="72">10^E91</f>
        <v>0.90851416823838727</v>
      </c>
      <c r="E91" s="2">
        <f t="shared" ref="E91:E101" si="73">LOG(J91)/(1+(F91/(I91-0.14*F91))^2)</f>
        <v>-4.1668295499843057E-2</v>
      </c>
      <c r="F91" s="2">
        <f t="shared" ref="F91:F101" si="74">LOG(G91)+H91</f>
        <v>-2.0289103159151689</v>
      </c>
      <c r="G91" s="6">
        <f t="shared" ref="G91:G101" si="75">M91*K91/L91</f>
        <v>1.8505693755361135E-2</v>
      </c>
      <c r="H91" s="2">
        <f>-0.4-0.67*LOG(J91)</f>
        <v>-0.29621568680955207</v>
      </c>
      <c r="I91" s="2">
        <f t="shared" ref="I91:I101" si="76">0.75-1.27*LOG(J91)</f>
        <v>0.94672548918189381</v>
      </c>
      <c r="J91" s="4">
        <f>(1-$B$10)*EXP(-O91/$B$11)+$B$10*EXP(-O91/$B$12)+EXP(-B$13/O91)</f>
        <v>0.7</v>
      </c>
      <c r="K91" s="6">
        <f>$P$90*101325/760/8.314/O91/1000000</f>
        <v>4.4686673081549197E-4</v>
      </c>
      <c r="L91" s="9">
        <f>B$4*O91^B$5*EXP(-B$6/1.987/O91)</f>
        <v>174918626629333.09</v>
      </c>
      <c r="M91" s="6">
        <f t="shared" ref="M91:M101" si="77">$B$7*O91^$B$8*EXP(-$B$9/1.987/O91)</f>
        <v>7243749228329386</v>
      </c>
      <c r="N91" s="2">
        <f t="shared" ref="N91:N101" si="78">10000/O91</f>
        <v>33.333333333333336</v>
      </c>
      <c r="O91" s="12">
        <v>300</v>
      </c>
      <c r="P91" s="13"/>
      <c r="Q91" s="6">
        <f t="shared" ref="Q91:Q101" si="79">L91/(1+L91/M91/K91)*D91</f>
        <v>2887418089957.1987</v>
      </c>
      <c r="R91" s="6"/>
    </row>
    <row r="92" spans="4:19" ht="15.75">
      <c r="D92" s="2">
        <f t="shared" si="72"/>
        <v>0.92123949454961906</v>
      </c>
      <c r="E92" s="2">
        <f t="shared" si="73"/>
        <v>-3.5627451626943162E-2</v>
      </c>
      <c r="F92" s="2">
        <f t="shared" si="74"/>
        <v>-2.3287632837750887</v>
      </c>
      <c r="G92" s="6">
        <f t="shared" si="75"/>
        <v>9.2779580178767446E-3</v>
      </c>
      <c r="H92" s="2">
        <f t="shared" ref="H92:H101" si="80">-0.4-0.67*LOG(J92)</f>
        <v>-0.29621568680955207</v>
      </c>
      <c r="I92" s="2">
        <f t="shared" si="76"/>
        <v>0.94672548918189381</v>
      </c>
      <c r="J92" s="4">
        <f t="shared" ref="J92:J103" si="81">(1-$B$10)*EXP(-O92/$B$11)+$B$10*EXP(-O92/$B$12)+EXP(-B$13/O92)</f>
        <v>0.7</v>
      </c>
      <c r="K92" s="6">
        <f t="shared" ref="K92:K101" si="82">$P$90*101325/760/8.314/O92/1000000</f>
        <v>3.3515004811161895E-4</v>
      </c>
      <c r="L92" s="9">
        <f t="shared" ref="L92:L103" si="83">B$4*O92^B$5*EXP(-B$6/1.987/O92)</f>
        <v>185277979569305.25</v>
      </c>
      <c r="M92" s="6">
        <f t="shared" si="77"/>
        <v>5129049886063391</v>
      </c>
      <c r="N92" s="2">
        <f t="shared" si="78"/>
        <v>25</v>
      </c>
      <c r="O92" s="12">
        <v>400</v>
      </c>
      <c r="P92" s="13"/>
      <c r="Q92" s="6">
        <f t="shared" si="79"/>
        <v>1569054283783.9097</v>
      </c>
      <c r="R92" s="6"/>
      <c r="S92" s="6"/>
    </row>
    <row r="93" spans="4:19" ht="15.75">
      <c r="D93" s="2">
        <f t="shared" si="72"/>
        <v>0.92910360560788086</v>
      </c>
      <c r="E93" s="2">
        <f t="shared" si="73"/>
        <v>-3.1935854537082024E-2</v>
      </c>
      <c r="F93" s="2">
        <f t="shared" si="74"/>
        <v>-2.5613473149944244</v>
      </c>
      <c r="G93" s="6">
        <f t="shared" si="75"/>
        <v>5.4308570536251884E-3</v>
      </c>
      <c r="H93" s="2">
        <f t="shared" si="80"/>
        <v>-0.29621568680955207</v>
      </c>
      <c r="I93" s="2">
        <f t="shared" si="76"/>
        <v>0.94672548918189381</v>
      </c>
      <c r="J93" s="4">
        <f t="shared" si="81"/>
        <v>0.7</v>
      </c>
      <c r="K93" s="6">
        <f t="shared" si="82"/>
        <v>2.6812003848929514E-4</v>
      </c>
      <c r="L93" s="9">
        <f t="shared" si="83"/>
        <v>193733983661863.44</v>
      </c>
      <c r="M93" s="6">
        <f t="shared" si="77"/>
        <v>3924143744067624</v>
      </c>
      <c r="N93" s="2">
        <f t="shared" si="78"/>
        <v>20</v>
      </c>
      <c r="O93" s="12">
        <v>500</v>
      </c>
      <c r="P93" s="13"/>
      <c r="Q93" s="6">
        <f t="shared" si="79"/>
        <v>972268277838.85071</v>
      </c>
      <c r="R93" s="6"/>
      <c r="S93" s="6"/>
    </row>
    <row r="94" spans="4:19" ht="15.75">
      <c r="D94" s="2">
        <f t="shared" si="72"/>
        <v>0.93452600632818694</v>
      </c>
      <c r="E94" s="2">
        <f t="shared" si="73"/>
        <v>-2.9408608412840636E-2</v>
      </c>
      <c r="F94" s="2">
        <f t="shared" si="74"/>
        <v>-2.7513823055087236</v>
      </c>
      <c r="G94" s="6">
        <f t="shared" si="75"/>
        <v>3.5061733249711104E-3</v>
      </c>
      <c r="H94" s="2">
        <f t="shared" si="80"/>
        <v>-0.29621568680955207</v>
      </c>
      <c r="I94" s="2">
        <f t="shared" si="76"/>
        <v>0.94672548918189381</v>
      </c>
      <c r="J94" s="4">
        <f t="shared" si="81"/>
        <v>0.7</v>
      </c>
      <c r="K94" s="6">
        <f t="shared" si="82"/>
        <v>2.2343336540774599E-4</v>
      </c>
      <c r="L94" s="9">
        <f t="shared" si="83"/>
        <v>200928738667455.53</v>
      </c>
      <c r="M94" s="6">
        <f t="shared" si="77"/>
        <v>3153024985549005</v>
      </c>
      <c r="N94" s="2">
        <f t="shared" si="78"/>
        <v>16.666666666666668</v>
      </c>
      <c r="O94" s="12">
        <v>600</v>
      </c>
      <c r="P94" s="13"/>
      <c r="Q94" s="6">
        <f t="shared" si="79"/>
        <v>656064868383.96997</v>
      </c>
      <c r="R94" s="6"/>
      <c r="S94" s="6"/>
    </row>
    <row r="95" spans="4:19" ht="15.75">
      <c r="D95" s="2">
        <f t="shared" si="72"/>
        <v>0.93853540737082064</v>
      </c>
      <c r="E95" s="2">
        <f t="shared" si="73"/>
        <v>-2.7549338454781497E-2</v>
      </c>
      <c r="F95" s="2">
        <f t="shared" si="74"/>
        <v>-2.9120546006221955</v>
      </c>
      <c r="G95" s="6">
        <f t="shared" si="75"/>
        <v>2.4219272084470048E-3</v>
      </c>
      <c r="H95" s="2">
        <f t="shared" si="80"/>
        <v>-0.29621568680955207</v>
      </c>
      <c r="I95" s="2">
        <f t="shared" si="76"/>
        <v>0.94672548918189381</v>
      </c>
      <c r="J95" s="4">
        <f t="shared" si="81"/>
        <v>0.7</v>
      </c>
      <c r="K95" s="6">
        <f t="shared" si="82"/>
        <v>1.9151431320663941E-4</v>
      </c>
      <c r="L95" s="9">
        <f t="shared" si="83"/>
        <v>207219879055280.06</v>
      </c>
      <c r="M95" s="6">
        <f t="shared" si="77"/>
        <v>2620542845137496.5</v>
      </c>
      <c r="N95" s="2">
        <f t="shared" si="78"/>
        <v>14.285714285714286</v>
      </c>
      <c r="O95" s="12">
        <v>700</v>
      </c>
      <c r="P95" s="13"/>
      <c r="Q95" s="6">
        <f t="shared" si="79"/>
        <v>469886108225.97162</v>
      </c>
      <c r="R95" s="6"/>
      <c r="S95" s="6"/>
    </row>
    <row r="96" spans="4:19" ht="15.75">
      <c r="D96" s="2">
        <f t="shared" si="72"/>
        <v>0.94164675348639226</v>
      </c>
      <c r="E96" s="2">
        <f t="shared" si="73"/>
        <v>-2.6111986573853347E-2</v>
      </c>
      <c r="F96" s="2">
        <f t="shared" si="74"/>
        <v>-3.0512352733686434</v>
      </c>
      <c r="G96" s="6">
        <f t="shared" si="75"/>
        <v>1.7578443338854709E-3</v>
      </c>
      <c r="H96" s="2">
        <f t="shared" si="80"/>
        <v>-0.29621568680955207</v>
      </c>
      <c r="I96" s="2">
        <f t="shared" si="76"/>
        <v>0.94672548918189381</v>
      </c>
      <c r="J96" s="4">
        <f t="shared" si="81"/>
        <v>0.7</v>
      </c>
      <c r="K96" s="6">
        <f t="shared" si="82"/>
        <v>1.6757502405580948E-4</v>
      </c>
      <c r="L96" s="9">
        <f t="shared" si="83"/>
        <v>212828510348435.22</v>
      </c>
      <c r="M96" s="6">
        <f t="shared" si="77"/>
        <v>2232548633743205</v>
      </c>
      <c r="N96" s="2">
        <f t="shared" si="78"/>
        <v>12.5</v>
      </c>
      <c r="O96" s="12">
        <v>800</v>
      </c>
      <c r="P96" s="13"/>
      <c r="Q96" s="6">
        <f t="shared" si="79"/>
        <v>351670128613.4502</v>
      </c>
      <c r="R96" s="6"/>
      <c r="S96" s="6"/>
    </row>
    <row r="97" spans="4:19" ht="15.75">
      <c r="D97" s="2">
        <f t="shared" si="72"/>
        <v>0.94414800120839126</v>
      </c>
      <c r="E97" s="2">
        <f t="shared" si="73"/>
        <v>-2.4959921941325569E-2</v>
      </c>
      <c r="F97" s="2">
        <f t="shared" si="74"/>
        <v>-3.1740013272423591</v>
      </c>
      <c r="G97" s="6">
        <f t="shared" si="75"/>
        <v>1.3249953665507394E-3</v>
      </c>
      <c r="H97" s="2">
        <f t="shared" si="80"/>
        <v>-0.29621568680955207</v>
      </c>
      <c r="I97" s="2">
        <f t="shared" si="76"/>
        <v>0.94672548918189381</v>
      </c>
      <c r="J97" s="4">
        <f t="shared" si="81"/>
        <v>0.7</v>
      </c>
      <c r="K97" s="6">
        <f t="shared" si="82"/>
        <v>1.4895557693849734E-4</v>
      </c>
      <c r="L97" s="9">
        <f t="shared" si="83"/>
        <v>217901545107214.97</v>
      </c>
      <c r="M97" s="6">
        <f t="shared" si="77"/>
        <v>1938286189516197.2</v>
      </c>
      <c r="N97" s="2">
        <f t="shared" si="78"/>
        <v>11.111111111111111</v>
      </c>
      <c r="O97" s="12">
        <v>900</v>
      </c>
      <c r="P97" s="13"/>
      <c r="Q97" s="6">
        <f t="shared" si="79"/>
        <v>272232323648.94772</v>
      </c>
      <c r="R97" s="6"/>
      <c r="S97" s="6"/>
    </row>
    <row r="98" spans="4:19" ht="15.75">
      <c r="D98" s="26">
        <f t="shared" si="72"/>
        <v>0.94754607027627247</v>
      </c>
      <c r="E98" s="26">
        <f t="shared" si="73"/>
        <v>-2.3399665180096202E-2</v>
      </c>
      <c r="F98" s="26">
        <f t="shared" si="74"/>
        <v>-3.3591996187918771</v>
      </c>
      <c r="G98" s="27">
        <f t="shared" si="75"/>
        <v>8.6499992143171227E-4</v>
      </c>
      <c r="H98" s="26">
        <f t="shared" si="80"/>
        <v>-0.29621568680955207</v>
      </c>
      <c r="I98" s="26">
        <f t="shared" si="76"/>
        <v>0.94672548918189381</v>
      </c>
      <c r="J98" s="31">
        <f t="shared" si="81"/>
        <v>0.7</v>
      </c>
      <c r="K98" s="27">
        <f>$P$90*101325/760/8.314/O98/1000000</f>
        <v>1.2470699464618381E-4</v>
      </c>
      <c r="L98" s="28">
        <f t="shared" si="83"/>
        <v>225784175713277.97</v>
      </c>
      <c r="M98" s="27">
        <f t="shared" si="77"/>
        <v>1566097353292972.5</v>
      </c>
      <c r="N98" s="26">
        <f t="shared" si="78"/>
        <v>9.3023255813953494</v>
      </c>
      <c r="O98" s="29">
        <v>1075</v>
      </c>
      <c r="P98" s="30"/>
      <c r="Q98" s="27">
        <f t="shared" si="79"/>
        <v>184898931419.8248</v>
      </c>
      <c r="R98" s="27"/>
      <c r="S98" s="27"/>
    </row>
    <row r="99" spans="4:19" ht="15.75">
      <c r="D99" s="26">
        <f t="shared" si="72"/>
        <v>0.94881978445522863</v>
      </c>
      <c r="E99" s="26">
        <f t="shared" si="73"/>
        <v>-2.2816268130159287E-2</v>
      </c>
      <c r="F99" s="26">
        <f t="shared" si="74"/>
        <v>-3.4349181063908034</v>
      </c>
      <c r="G99" s="27">
        <f t="shared" si="75"/>
        <v>7.2660365880717421E-4</v>
      </c>
      <c r="H99" s="26">
        <f t="shared" si="80"/>
        <v>-0.29621568680955207</v>
      </c>
      <c r="I99" s="26">
        <f t="shared" si="76"/>
        <v>0.94672548918189381</v>
      </c>
      <c r="J99" s="31">
        <f t="shared" si="81"/>
        <v>0.7</v>
      </c>
      <c r="K99" s="27">
        <f t="shared" si="82"/>
        <v>1.1596887477910691E-4</v>
      </c>
      <c r="L99" s="28">
        <f t="shared" si="83"/>
        <v>229088545411926.41</v>
      </c>
      <c r="M99" s="27">
        <f t="shared" si="77"/>
        <v>1435355612479463.5</v>
      </c>
      <c r="N99" s="26">
        <f t="shared" si="78"/>
        <v>8.6505190311418687</v>
      </c>
      <c r="O99" s="29">
        <v>1156</v>
      </c>
      <c r="P99" s="30"/>
      <c r="Q99" s="27">
        <f t="shared" si="79"/>
        <v>157822617393.83911</v>
      </c>
      <c r="R99" s="27"/>
      <c r="S99" s="27"/>
    </row>
    <row r="100" spans="4:19" ht="15.75">
      <c r="D100" s="2">
        <f t="shared" si="72"/>
        <v>0.94945089263772431</v>
      </c>
      <c r="E100" s="2">
        <f t="shared" si="73"/>
        <v>-2.2527492862703686E-2</v>
      </c>
      <c r="F100" s="2">
        <f t="shared" si="74"/>
        <v>-3.4738542951022793</v>
      </c>
      <c r="G100" s="6">
        <f t="shared" si="75"/>
        <v>6.642956242144441E-4</v>
      </c>
      <c r="H100" s="2">
        <f t="shared" si="80"/>
        <v>-0.29621568680955207</v>
      </c>
      <c r="I100" s="2">
        <f t="shared" si="76"/>
        <v>0.94672548918189381</v>
      </c>
      <c r="J100" s="4">
        <f t="shared" si="81"/>
        <v>0.7</v>
      </c>
      <c r="K100" s="6">
        <f t="shared" si="82"/>
        <v>1.1171668270387299E-4</v>
      </c>
      <c r="L100" s="9">
        <f t="shared" si="83"/>
        <v>230806511578935.31</v>
      </c>
      <c r="M100" s="6">
        <f t="shared" si="77"/>
        <v>1372433838628218.7</v>
      </c>
      <c r="N100" s="2">
        <f t="shared" si="78"/>
        <v>8.3333333333333339</v>
      </c>
      <c r="O100" s="12">
        <v>1200</v>
      </c>
      <c r="P100" s="13"/>
      <c r="Q100" s="6">
        <f t="shared" si="79"/>
        <v>145476737135.02222</v>
      </c>
      <c r="R100" s="6"/>
    </row>
    <row r="101" spans="4:19" ht="15.75">
      <c r="D101" s="2">
        <f t="shared" si="72"/>
        <v>0.95075166571351355</v>
      </c>
      <c r="E101" s="2">
        <f t="shared" si="73"/>
        <v>-2.1932905033336354E-2</v>
      </c>
      <c r="F101" s="2">
        <f t="shared" si="74"/>
        <v>-3.5572833501243872</v>
      </c>
      <c r="G101" s="6">
        <f t="shared" si="75"/>
        <v>5.48191549727644E-4</v>
      </c>
      <c r="H101" s="2">
        <f t="shared" si="80"/>
        <v>-0.29621568680955207</v>
      </c>
      <c r="I101" s="2">
        <f t="shared" si="76"/>
        <v>0.94672548918189381</v>
      </c>
      <c r="J101" s="4">
        <f t="shared" si="81"/>
        <v>0.7</v>
      </c>
      <c r="K101" s="6">
        <f t="shared" si="82"/>
        <v>1.03123091726652E-4</v>
      </c>
      <c r="L101" s="9">
        <f t="shared" si="83"/>
        <v>234531120441019.87</v>
      </c>
      <c r="M101" s="6">
        <f t="shared" si="77"/>
        <v>1246742860606992.5</v>
      </c>
      <c r="N101" s="2">
        <f t="shared" si="78"/>
        <v>7.6923076923076925</v>
      </c>
      <c r="O101" s="12">
        <v>1300</v>
      </c>
      <c r="P101" s="13"/>
      <c r="Q101" s="6">
        <f t="shared" si="79"/>
        <v>122169247447.33945</v>
      </c>
      <c r="R101" s="6"/>
    </row>
    <row r="102" spans="4:19" ht="15.75">
      <c r="D102" s="2">
        <f>10^E102</f>
        <v>0.95291517119331448</v>
      </c>
      <c r="E102" s="2">
        <f>LOG(J102)/(1+(F102/(I102-0.14*F102))^2)</f>
        <v>-2.0945758671627273E-2</v>
      </c>
      <c r="F102" s="2">
        <f>LOG(G102)+H102</f>
        <v>-3.7064383263216141</v>
      </c>
      <c r="G102" s="6">
        <f>M102*K102/L102</f>
        <v>3.8884575350589735E-4</v>
      </c>
      <c r="H102" s="2">
        <f>-0.4-0.67*LOG(J102)</f>
        <v>-0.29621568680955207</v>
      </c>
      <c r="I102" s="2">
        <f>0.75-1.27*LOG(J102)</f>
        <v>0.94672548918189381</v>
      </c>
      <c r="J102" s="4">
        <f t="shared" si="81"/>
        <v>0.7</v>
      </c>
      <c r="K102" s="6">
        <f>$P$90*101325/760/8.314/O102/1000000</f>
        <v>8.9373346163098389E-5</v>
      </c>
      <c r="L102" s="9">
        <f t="shared" si="83"/>
        <v>241340417502550.47</v>
      </c>
      <c r="M102" s="6">
        <f>$B$7*O102^$B$8*EXP(-$B$9/1.987/O102)</f>
        <v>1050024425894827.7</v>
      </c>
      <c r="N102" s="2">
        <f>10000/O102</f>
        <v>6.666666666666667</v>
      </c>
      <c r="O102" s="12">
        <v>1500</v>
      </c>
      <c r="P102" s="13"/>
      <c r="Q102" s="6">
        <f>L102/(1+L102/M102/K102)*D102</f>
        <v>89390799336.005005</v>
      </c>
      <c r="R102" s="6"/>
    </row>
    <row r="103" spans="4:19" ht="15.75">
      <c r="D103" s="2">
        <f>10^E103</f>
        <v>0.95540398706035168</v>
      </c>
      <c r="E103" s="2">
        <f>LOG(J103)/(1+(F103/(I103-0.14*F103))^2)</f>
        <v>-1.9812950665500727E-2</v>
      </c>
      <c r="F103" s="2">
        <f>LOG(G103)+H103</f>
        <v>-3.8964733168359138</v>
      </c>
      <c r="G103" s="6">
        <f>M103*K103/L103</f>
        <v>2.5103967845380908E-4</v>
      </c>
      <c r="H103" s="2">
        <f>-0.4-0.67*LOG(J103)</f>
        <v>-0.29621568680955207</v>
      </c>
      <c r="I103" s="2">
        <f>0.75-1.27*LOG(J103)</f>
        <v>0.94672548918189381</v>
      </c>
      <c r="J103" s="4">
        <f t="shared" si="81"/>
        <v>0.7</v>
      </c>
      <c r="K103" s="6">
        <f>$P$90*101325/760/8.314/O103/1000000</f>
        <v>7.4477788469248671E-5</v>
      </c>
      <c r="L103" s="9">
        <f t="shared" si="83"/>
        <v>250303146415970.06</v>
      </c>
      <c r="M103" s="6">
        <f>$B$7*O103^$B$8*EXP(-$B$9/1.987/O103)</f>
        <v>843688067056211.62</v>
      </c>
      <c r="N103" s="2">
        <f>10000/O103</f>
        <v>5.5555555555555554</v>
      </c>
      <c r="O103" s="12">
        <v>1800</v>
      </c>
      <c r="P103" s="13"/>
      <c r="Q103" s="6">
        <f>L103/(1+L103/M103/K103)*D103</f>
        <v>60018718289.416801</v>
      </c>
      <c r="R103" s="6"/>
    </row>
    <row r="104" spans="4:19">
      <c r="D104" s="2" t="s">
        <v>4</v>
      </c>
      <c r="E104" s="2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s="2" t="s">
        <v>14</v>
      </c>
      <c r="P104">
        <f>760*30</f>
        <v>22800</v>
      </c>
      <c r="Q104" s="6" t="s">
        <v>16</v>
      </c>
    </row>
    <row r="105" spans="4:19" ht="15.75">
      <c r="D105" s="2">
        <f t="shared" ref="D105:D115" si="84">10^E105</f>
        <v>0.88255628179218659</v>
      </c>
      <c r="E105" s="2">
        <f t="shared" ref="E105:E115" si="85">LOG(J105)/(1+(F105/(I105-0.14*F105))^2)</f>
        <v>-5.4257589518174512E-2</v>
      </c>
      <c r="F105" s="2">
        <f t="shared" ref="F105:F115" si="86">LOG(G105)+H105</f>
        <v>-1.5931817463537314</v>
      </c>
      <c r="G105" s="6">
        <f t="shared" ref="G105:G115" si="87">M105*K105/L105</f>
        <v>5.0470073878257637E-2</v>
      </c>
      <c r="H105" s="2">
        <f>-0.4-0.67*LOG(J105)</f>
        <v>-0.29621568680955207</v>
      </c>
      <c r="I105" s="2">
        <f t="shared" ref="I105:I115" si="88">0.75-1.27*LOG(J105)</f>
        <v>0.94672548918189381</v>
      </c>
      <c r="J105" s="4">
        <f>(1-$B$10)*EXP(-O105/$B$11)+$B$10*EXP(-O105/$B$12)+EXP(-B$13/O105)</f>
        <v>0.7</v>
      </c>
      <c r="K105" s="6">
        <f>$P$104*101325/760/8.314/O105/1000000</f>
        <v>1.2187274476786144E-3</v>
      </c>
      <c r="L105" s="9">
        <f>B$4*O105^B$5*EXP(-B$6/1.987/O105)</f>
        <v>174918626629333.09</v>
      </c>
      <c r="M105" s="6">
        <f t="shared" ref="M105:M115" si="89">$B$7*O105^$B$8*EXP(-$B$9/1.987/O105)</f>
        <v>7243749228329386</v>
      </c>
      <c r="N105" s="2">
        <f t="shared" ref="N105:N115" si="90">10000/O105</f>
        <v>33.333333333333336</v>
      </c>
      <c r="O105" s="12">
        <v>300</v>
      </c>
      <c r="P105" s="13"/>
      <c r="Q105" s="6">
        <f t="shared" ref="Q105:Q115" si="91">L105/(1+L105/M105/K105)*D105</f>
        <v>7417007619573.9463</v>
      </c>
      <c r="R105" s="6"/>
      <c r="S105" s="6"/>
    </row>
    <row r="106" spans="4:19" ht="15.75">
      <c r="D106" s="26">
        <f t="shared" si="84"/>
        <v>0.94249398061442102</v>
      </c>
      <c r="E106" s="26">
        <f t="shared" si="85"/>
        <v>-2.5721414803113071E-2</v>
      </c>
      <c r="F106" s="26">
        <f t="shared" si="86"/>
        <v>-3.091653070125902</v>
      </c>
      <c r="G106" s="27">
        <f t="shared" si="87"/>
        <v>1.6016315553236359E-3</v>
      </c>
      <c r="H106" s="26">
        <f t="shared" ref="H106:H115" si="92">-0.4-0.67*LOG(J106)</f>
        <v>-0.29621568680955207</v>
      </c>
      <c r="I106" s="26">
        <f t="shared" si="88"/>
        <v>0.94672548918189381</v>
      </c>
      <c r="J106" s="31">
        <f t="shared" ref="J106:J117" si="93">(1-$B$10)*EXP(-O106/$B$11)+$B$10*EXP(-O106/$B$12)+EXP(-B$13/O106)</f>
        <v>0.7</v>
      </c>
      <c r="K106" s="27">
        <f>23.4*101325/8.314/O106/1000000</f>
        <v>2.5037947564248971E-4</v>
      </c>
      <c r="L106" s="28">
        <f t="shared" ref="L106:L117" si="94">B$4*O106^B$5*EXP(-B$6/1.987/O106)</f>
        <v>228410756766969.53</v>
      </c>
      <c r="M106" s="27">
        <f t="shared" si="89"/>
        <v>1461101692439395.2</v>
      </c>
      <c r="N106" s="26">
        <f t="shared" si="90"/>
        <v>8.7796312554872689</v>
      </c>
      <c r="O106" s="29">
        <v>1139</v>
      </c>
      <c r="P106" s="30"/>
      <c r="Q106" s="27">
        <f t="shared" si="91"/>
        <v>344241108272.83661</v>
      </c>
      <c r="R106" s="27"/>
      <c r="S106" s="27"/>
    </row>
    <row r="107" spans="4:19" ht="15.75">
      <c r="D107" s="26">
        <f t="shared" si="84"/>
        <v>0.94269987445670334</v>
      </c>
      <c r="E107" s="26">
        <f t="shared" si="85"/>
        <v>-2.5626550755390849E-2</v>
      </c>
      <c r="F107" s="26">
        <f t="shared" si="86"/>
        <v>-3.1016509261188059</v>
      </c>
      <c r="G107" s="27">
        <f t="shared" si="87"/>
        <v>1.5651816970250136E-3</v>
      </c>
      <c r="H107" s="26">
        <f t="shared" si="92"/>
        <v>-0.29621568680955207</v>
      </c>
      <c r="I107" s="26">
        <f t="shared" si="88"/>
        <v>0.94672548918189381</v>
      </c>
      <c r="J107" s="31">
        <f t="shared" si="93"/>
        <v>0.7</v>
      </c>
      <c r="K107" s="27">
        <f>25.3*101325/8.314/O107/1000000</f>
        <v>2.5954380830192712E-4</v>
      </c>
      <c r="L107" s="28">
        <f t="shared" si="94"/>
        <v>230343040946827.16</v>
      </c>
      <c r="M107" s="27">
        <f t="shared" si="89"/>
        <v>1389086158848583.7</v>
      </c>
      <c r="N107" s="26">
        <f t="shared" si="90"/>
        <v>8.4175084175084169</v>
      </c>
      <c r="O107" s="29">
        <v>1188</v>
      </c>
      <c r="P107" s="30"/>
      <c r="Q107" s="27">
        <f t="shared" si="91"/>
        <v>339339243709.79687</v>
      </c>
      <c r="R107" s="27"/>
      <c r="S107" s="27"/>
    </row>
    <row r="108" spans="4:19" ht="15.75">
      <c r="D108" s="26">
        <f t="shared" si="84"/>
        <v>0.94100740068595423</v>
      </c>
      <c r="E108" s="26">
        <f t="shared" si="85"/>
        <v>-2.6406960988860632E-2</v>
      </c>
      <c r="F108" s="26">
        <f t="shared" si="86"/>
        <v>-3.0214799732130628</v>
      </c>
      <c r="G108" s="27">
        <f t="shared" si="87"/>
        <v>1.8825031587405988E-3</v>
      </c>
      <c r="H108" s="26">
        <f t="shared" si="92"/>
        <v>-0.29621568680955207</v>
      </c>
      <c r="I108" s="26">
        <f t="shared" si="88"/>
        <v>0.94672548918189381</v>
      </c>
      <c r="J108" s="31">
        <f t="shared" si="93"/>
        <v>0.7</v>
      </c>
      <c r="K108" s="27">
        <f>24.1*101325/8.314/O108/1000000</f>
        <v>2.7246133106729689E-4</v>
      </c>
      <c r="L108" s="28">
        <f t="shared" si="94"/>
        <v>225910054350724.5</v>
      </c>
      <c r="M108" s="27">
        <f t="shared" si="89"/>
        <v>1560868800136110.2</v>
      </c>
      <c r="N108" s="26">
        <f t="shared" si="90"/>
        <v>9.2764378478664185</v>
      </c>
      <c r="O108" s="29">
        <v>1078</v>
      </c>
      <c r="P108" s="30"/>
      <c r="Q108" s="27">
        <f t="shared" si="91"/>
        <v>399436291100.31659</v>
      </c>
      <c r="R108" s="27"/>
      <c r="S108" s="27"/>
    </row>
    <row r="109" spans="4:19" ht="15.75">
      <c r="D109" s="26">
        <f t="shared" si="84"/>
        <v>0.94214531618694586</v>
      </c>
      <c r="E109" s="26">
        <f t="shared" si="85"/>
        <v>-2.5882106601138297E-2</v>
      </c>
      <c r="F109" s="26">
        <f t="shared" si="86"/>
        <v>-3.0748804493852009</v>
      </c>
      <c r="G109" s="27">
        <f t="shared" si="87"/>
        <v>1.6646971554126466E-3</v>
      </c>
      <c r="H109" s="26">
        <f t="shared" si="92"/>
        <v>-0.29621568680955207</v>
      </c>
      <c r="I109" s="26">
        <f t="shared" si="88"/>
        <v>0.94672548918189381</v>
      </c>
      <c r="J109" s="31">
        <f t="shared" si="93"/>
        <v>0.7</v>
      </c>
      <c r="K109" s="27">
        <f>26.8*101325/8.314/O109/1000000</f>
        <v>2.7539540976211519E-4</v>
      </c>
      <c r="L109" s="28">
        <f t="shared" si="94"/>
        <v>230265432087914.5</v>
      </c>
      <c r="M109" s="27">
        <f t="shared" si="89"/>
        <v>1391897599592261</v>
      </c>
      <c r="N109" s="26">
        <f t="shared" si="90"/>
        <v>8.4317032040472171</v>
      </c>
      <c r="O109" s="29">
        <v>1186</v>
      </c>
      <c r="P109" s="30"/>
      <c r="Q109" s="27">
        <f t="shared" si="91"/>
        <v>360545026261.27411</v>
      </c>
      <c r="R109" s="27"/>
      <c r="S109" s="27"/>
    </row>
    <row r="110" spans="4:19" ht="15.75">
      <c r="D110" s="26">
        <f t="shared" si="84"/>
        <v>0.94219438624237595</v>
      </c>
      <c r="E110" s="26">
        <f t="shared" si="85"/>
        <v>-2.5859487691949765E-2</v>
      </c>
      <c r="F110" s="26">
        <f t="shared" si="86"/>
        <v>-3.0772290856058677</v>
      </c>
      <c r="G110" s="27">
        <f t="shared" si="87"/>
        <v>1.6557188806600874E-3</v>
      </c>
      <c r="H110" s="26">
        <f t="shared" si="92"/>
        <v>-0.29621568680955207</v>
      </c>
      <c r="I110" s="26">
        <f t="shared" si="88"/>
        <v>0.94672548918189381</v>
      </c>
      <c r="J110" s="31">
        <f t="shared" si="93"/>
        <v>0.7</v>
      </c>
      <c r="K110" s="27">
        <f>24.6*101325/8.314/O110/1000000</f>
        <v>2.6138356767998181E-4</v>
      </c>
      <c r="L110" s="28">
        <f t="shared" si="94"/>
        <v>228730717057702.16</v>
      </c>
      <c r="M110" s="27">
        <f t="shared" si="89"/>
        <v>1448881313315863</v>
      </c>
      <c r="N110" s="26">
        <f t="shared" si="90"/>
        <v>8.7183958151700089</v>
      </c>
      <c r="O110" s="29">
        <v>1147</v>
      </c>
      <c r="P110" s="30"/>
      <c r="Q110" s="27">
        <f t="shared" si="91"/>
        <v>356232164768.797</v>
      </c>
      <c r="R110" s="27"/>
      <c r="S110" s="27"/>
    </row>
    <row r="111" spans="4:19" ht="15.75">
      <c r="D111" s="26">
        <f t="shared" si="84"/>
        <v>0.93915850333241269</v>
      </c>
      <c r="E111" s="26">
        <f t="shared" si="85"/>
        <v>-2.7261104950687953E-2</v>
      </c>
      <c r="F111" s="26">
        <f t="shared" si="86"/>
        <v>-2.9388313228652425</v>
      </c>
      <c r="G111" s="27">
        <f t="shared" si="87"/>
        <v>2.2771118530988226E-3</v>
      </c>
      <c r="H111" s="26">
        <f t="shared" si="92"/>
        <v>-0.29621568680955207</v>
      </c>
      <c r="I111" s="26">
        <f t="shared" si="88"/>
        <v>0.94672548918189381</v>
      </c>
      <c r="J111" s="31">
        <f t="shared" si="93"/>
        <v>0.7</v>
      </c>
      <c r="K111" s="27">
        <f>40.4*101325/8.314/O111/1000000</f>
        <v>3.9867683308676943E-4</v>
      </c>
      <c r="L111" s="28">
        <f t="shared" si="94"/>
        <v>232137444624603.66</v>
      </c>
      <c r="M111" s="27">
        <f t="shared" si="89"/>
        <v>1325893261993755</v>
      </c>
      <c r="N111" s="26">
        <f t="shared" si="90"/>
        <v>8.097165991902834</v>
      </c>
      <c r="O111" s="29">
        <v>1235</v>
      </c>
      <c r="P111" s="30"/>
      <c r="Q111" s="27">
        <f t="shared" si="91"/>
        <v>495314048009.56494</v>
      </c>
      <c r="R111" s="27"/>
      <c r="S111" s="27"/>
    </row>
    <row r="112" spans="4:19" ht="15.75">
      <c r="D112" s="26">
        <f t="shared" si="84"/>
        <v>0.94042751638962263</v>
      </c>
      <c r="E112" s="26">
        <f t="shared" si="85"/>
        <v>-2.6674672144562123E-2</v>
      </c>
      <c r="F112" s="26">
        <f t="shared" si="86"/>
        <v>-2.9950264635381876</v>
      </c>
      <c r="G112" s="27">
        <f t="shared" si="87"/>
        <v>2.0007334046680436E-3</v>
      </c>
      <c r="H112" s="26">
        <f t="shared" si="92"/>
        <v>-0.29621568680955207</v>
      </c>
      <c r="I112" s="26">
        <f t="shared" si="88"/>
        <v>0.94672548918189381</v>
      </c>
      <c r="J112" s="31">
        <f t="shared" si="93"/>
        <v>0.7</v>
      </c>
      <c r="K112" s="27">
        <f>34.2*101325/8.314/O112/1000000</f>
        <v>3.4276709465961034E-4</v>
      </c>
      <c r="L112" s="28">
        <f t="shared" si="94"/>
        <v>231418739046324.5</v>
      </c>
      <c r="M112" s="27">
        <f t="shared" si="89"/>
        <v>1350792444461257.7</v>
      </c>
      <c r="N112" s="26">
        <f t="shared" si="90"/>
        <v>8.223684210526315</v>
      </c>
      <c r="O112" s="29">
        <v>1216</v>
      </c>
      <c r="P112" s="30"/>
      <c r="Q112" s="27">
        <f t="shared" si="91"/>
        <v>434555283470.98456</v>
      </c>
      <c r="R112" s="27"/>
      <c r="S112" s="27"/>
    </row>
    <row r="113" spans="4:19" ht="15.75">
      <c r="D113" s="26">
        <f t="shared" si="84"/>
        <v>0.939403110074854</v>
      </c>
      <c r="E113" s="26">
        <f t="shared" si="85"/>
        <v>-2.7148006334895152E-2</v>
      </c>
      <c r="F113" s="26">
        <f t="shared" si="86"/>
        <v>-2.9494871599493475</v>
      </c>
      <c r="G113" s="27">
        <f t="shared" si="87"/>
        <v>2.2219205561358896E-3</v>
      </c>
      <c r="H113" s="26">
        <f t="shared" si="92"/>
        <v>-0.29621568680955207</v>
      </c>
      <c r="I113" s="26">
        <f t="shared" si="88"/>
        <v>0.94672548918189381</v>
      </c>
      <c r="J113" s="31">
        <f t="shared" si="93"/>
        <v>0.7</v>
      </c>
      <c r="K113" s="27">
        <f>26.4*101325/8.314/O113/1000000</f>
        <v>3.0788903941354469E-4</v>
      </c>
      <c r="L113" s="28">
        <f t="shared" si="94"/>
        <v>224509677473815.69</v>
      </c>
      <c r="M113" s="27">
        <f t="shared" si="89"/>
        <v>1620202747004850.5</v>
      </c>
      <c r="N113" s="26">
        <f t="shared" si="90"/>
        <v>9.5693779904306222</v>
      </c>
      <c r="O113" s="29">
        <v>1045</v>
      </c>
      <c r="P113" s="30"/>
      <c r="Q113" s="27">
        <f t="shared" si="91"/>
        <v>467575437745.58588</v>
      </c>
      <c r="R113" s="27"/>
      <c r="S113" s="27"/>
    </row>
    <row r="114" spans="4:19" ht="15.75">
      <c r="D114" s="26">
        <f t="shared" si="84"/>
        <v>0.93907344717790397</v>
      </c>
      <c r="E114" s="26">
        <f t="shared" si="85"/>
        <v>-2.7300439196461253E-2</v>
      </c>
      <c r="F114" s="26">
        <f t="shared" si="86"/>
        <v>-2.9351452369786983</v>
      </c>
      <c r="G114" s="27">
        <f t="shared" si="87"/>
        <v>2.2965211520507732E-3</v>
      </c>
      <c r="H114" s="26">
        <f t="shared" si="92"/>
        <v>-0.29621568680955207</v>
      </c>
      <c r="I114" s="26">
        <f t="shared" si="88"/>
        <v>0.94672548918189381</v>
      </c>
      <c r="J114" s="31">
        <f t="shared" si="93"/>
        <v>0.7</v>
      </c>
      <c r="K114" s="27">
        <f>33.2*101325/8.314/O114/1000000</f>
        <v>3.5680556669250442E-4</v>
      </c>
      <c r="L114" s="28">
        <f t="shared" si="94"/>
        <v>228209867487910.47</v>
      </c>
      <c r="M114" s="27">
        <f t="shared" si="89"/>
        <v>1468835793821431.5</v>
      </c>
      <c r="N114" s="26">
        <f t="shared" si="90"/>
        <v>8.8183421516754859</v>
      </c>
      <c r="O114" s="29">
        <v>1134</v>
      </c>
      <c r="P114" s="30"/>
      <c r="Q114" s="27">
        <f t="shared" si="91"/>
        <v>491030203331.52417</v>
      </c>
      <c r="R114" s="27"/>
      <c r="S114" s="27"/>
    </row>
    <row r="115" spans="4:19" ht="15.75">
      <c r="D115" s="26">
        <f t="shared" si="84"/>
        <v>0.93999298165757461</v>
      </c>
      <c r="E115" s="26">
        <f t="shared" si="85"/>
        <v>-2.6875388994733535E-2</v>
      </c>
      <c r="F115" s="26">
        <f t="shared" si="86"/>
        <v>-2.9755268406764053</v>
      </c>
      <c r="G115" s="27">
        <f t="shared" si="87"/>
        <v>2.0926126490327149E-3</v>
      </c>
      <c r="H115" s="26">
        <f t="shared" si="92"/>
        <v>-0.29621568680955207</v>
      </c>
      <c r="I115" s="26">
        <f t="shared" si="88"/>
        <v>0.94672548918189381</v>
      </c>
      <c r="J115" s="31">
        <f t="shared" si="93"/>
        <v>0.7</v>
      </c>
      <c r="K115" s="27">
        <f>35.7*101325/8.314/O115/1000000</f>
        <v>3.5809522536729661E-4</v>
      </c>
      <c r="L115" s="28">
        <f t="shared" si="94"/>
        <v>231380664227045.78</v>
      </c>
      <c r="M115" s="27">
        <f t="shared" si="89"/>
        <v>1352126670235482.5</v>
      </c>
      <c r="N115" s="26">
        <f t="shared" si="90"/>
        <v>8.2304526748971192</v>
      </c>
      <c r="O115" s="29">
        <v>1215</v>
      </c>
      <c r="P115" s="30"/>
      <c r="Q115" s="27">
        <f t="shared" si="91"/>
        <v>454184867210.84253</v>
      </c>
      <c r="R115" s="27"/>
      <c r="S115" s="27"/>
    </row>
    <row r="116" spans="4:19" ht="15.75">
      <c r="D116" s="26">
        <f>10^E116</f>
        <v>0.93881776662307881</v>
      </c>
      <c r="E116" s="26">
        <f>LOG(J116)/(1+(F116/(I116-0.14*F116))^2)</f>
        <v>-2.7418700205363754E-2</v>
      </c>
      <c r="F116" s="26">
        <f>LOG(G116)+H116</f>
        <v>-2.9241239188079491</v>
      </c>
      <c r="G116" s="27">
        <f>M116*K116/L116</f>
        <v>2.3555469669436905E-3</v>
      </c>
      <c r="H116" s="26">
        <f>-0.4-0.67*LOG(J116)</f>
        <v>-0.29621568680955207</v>
      </c>
      <c r="I116" s="26">
        <f>0.75-1.27*LOG(J116)</f>
        <v>0.94672548918189381</v>
      </c>
      <c r="J116" s="31">
        <f t="shared" si="93"/>
        <v>0.7</v>
      </c>
      <c r="K116" s="27">
        <f>32.7*101325/8.314/O116/1000000</f>
        <v>3.5742051604565641E-4</v>
      </c>
      <c r="L116" s="28">
        <f t="shared" si="94"/>
        <v>227439965792379.06</v>
      </c>
      <c r="M116" s="27">
        <f>$B$7*O116^$B$8*EXP(-$B$9/1.987/O116)</f>
        <v>1498922131027251.5</v>
      </c>
      <c r="N116" s="26">
        <f>10000/O116</f>
        <v>8.9686098654708513</v>
      </c>
      <c r="O116" s="29">
        <v>1115</v>
      </c>
      <c r="P116" s="30"/>
      <c r="Q116" s="27">
        <f>L116/(1+L116/M116/K116)*D116</f>
        <v>501785434892.60382</v>
      </c>
      <c r="R116" s="27"/>
      <c r="S116" s="27"/>
    </row>
    <row r="117" spans="4:19" ht="15.75">
      <c r="D117" s="26">
        <f>10^E117</f>
        <v>0.94018130370897146</v>
      </c>
      <c r="E117" s="26">
        <f>LOG(J117)/(1+(F117/(I117-0.14*F117))^2)</f>
        <v>-2.678838937065359E-2</v>
      </c>
      <c r="F117" s="26">
        <f>LOG(G117)+H117</f>
        <v>-2.9839442377089829</v>
      </c>
      <c r="G117" s="27">
        <f>M117*K117/L117</f>
        <v>2.0524446270107086E-3</v>
      </c>
      <c r="H117" s="26">
        <f>-0.4-0.67*LOG(J117)</f>
        <v>-0.29621568680955207</v>
      </c>
      <c r="I117" s="26">
        <f>0.75-1.27*LOG(J117)</f>
        <v>0.94672548918189381</v>
      </c>
      <c r="J117" s="31">
        <f t="shared" si="93"/>
        <v>0.7</v>
      </c>
      <c r="K117" s="27">
        <f>38.5*101325/8.314/O117/1000000</f>
        <v>3.7121049632616026E-4</v>
      </c>
      <c r="L117" s="28">
        <f t="shared" si="94"/>
        <v>233217546774108</v>
      </c>
      <c r="M117" s="27">
        <f>$B$7*O117^$B$8*EXP(-$B$9/1.987/O117)</f>
        <v>1289473507722587.5</v>
      </c>
      <c r="N117" s="26">
        <f>10000/O117</f>
        <v>7.9113924050632916</v>
      </c>
      <c r="O117" s="29">
        <v>1264</v>
      </c>
      <c r="P117" s="30"/>
      <c r="Q117" s="27">
        <f>L117/(1+L117/M117/K117)*D117</f>
        <v>449111142940.2442</v>
      </c>
      <c r="R117" s="27"/>
      <c r="S117" s="27"/>
    </row>
    <row r="118" spans="4:19">
      <c r="D118" s="2" t="s">
        <v>4</v>
      </c>
      <c r="E118" s="2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P118">
        <f>760*40</f>
        <v>30400</v>
      </c>
      <c r="Q118" t="s">
        <v>16</v>
      </c>
    </row>
    <row r="119" spans="4:19" ht="15.75">
      <c r="D119" s="2">
        <f t="shared" ref="D119:D131" si="95">10^E119</f>
        <v>0.87288762872675774</v>
      </c>
      <c r="E119" s="2">
        <f t="shared" ref="E119:E129" si="96">LOG(J119)/(1+(F119/(I119-0.14*F119))^2)</f>
        <v>-5.9041661638116708E-2</v>
      </c>
      <c r="F119" s="2">
        <f t="shared" ref="F119:F129" si="97">LOG(G119)+H119</f>
        <v>-1.4682430097454313</v>
      </c>
      <c r="G119" s="6">
        <f t="shared" ref="G119:G129" si="98">M119*K119/L119</f>
        <v>6.7293431837676859E-2</v>
      </c>
      <c r="H119" s="2">
        <f>-0.4-0.67*LOG(J119)</f>
        <v>-0.29621568680955207</v>
      </c>
      <c r="I119" s="2">
        <f t="shared" ref="I119:I129" si="99">0.75-1.27*LOG(J119)</f>
        <v>0.94672548918189381</v>
      </c>
      <c r="J119" s="4">
        <f>(1-$B$10)*EXP(-O119/$B$11)+$B$10*EXP(-O119/$B$12)+EXP(-B$13/O119)</f>
        <v>0.7</v>
      </c>
      <c r="K119" s="6">
        <f>$P$118*101325/760/8.314/O119/1000000</f>
        <v>1.6249699302381525E-3</v>
      </c>
      <c r="L119" s="9">
        <f>B$4*O119^B$5*EXP(-B$6/1.987/O119)</f>
        <v>174918626629333.09</v>
      </c>
      <c r="M119" s="6">
        <f t="shared" ref="M119:M129" si="100">$B$7*O119^$B$8*EXP(-$B$9/1.987/O119)</f>
        <v>7243749228329386</v>
      </c>
      <c r="N119" s="2">
        <f t="shared" ref="N119:N129" si="101">10000/O119</f>
        <v>33.333333333333336</v>
      </c>
      <c r="O119" s="12">
        <v>300</v>
      </c>
      <c r="P119" s="13"/>
      <c r="Q119" s="6">
        <f t="shared" ref="Q119:Q129" si="102">L119/(1+L119/M119/K119)*D119</f>
        <v>9626828554750.1504</v>
      </c>
      <c r="R119" s="6"/>
      <c r="S119" s="6"/>
    </row>
    <row r="120" spans="4:19" ht="15.75">
      <c r="D120" s="2">
        <f t="shared" si="95"/>
        <v>0.8942724096138186</v>
      </c>
      <c r="E120" s="2">
        <f t="shared" si="96"/>
        <v>-4.8530168037052672E-2</v>
      </c>
      <c r="F120" s="2">
        <f t="shared" si="97"/>
        <v>-1.7680959776053515</v>
      </c>
      <c r="G120" s="6">
        <f t="shared" si="98"/>
        <v>3.3738029155915429E-2</v>
      </c>
      <c r="H120" s="2">
        <f t="shared" ref="H120:H129" si="103">-0.4-0.67*LOG(J120)</f>
        <v>-0.29621568680955207</v>
      </c>
      <c r="I120" s="2">
        <f t="shared" si="99"/>
        <v>0.94672548918189381</v>
      </c>
      <c r="J120" s="4">
        <f t="shared" ref="J120:J131" si="104">(1-$B$10)*EXP(-O120/$B$11)+$B$10*EXP(-O120/$B$12)+EXP(-B$13/O120)</f>
        <v>0.7</v>
      </c>
      <c r="K120" s="6">
        <f>$P$118*101325/760/8.314/O120/1000000</f>
        <v>1.2187274476786144E-3</v>
      </c>
      <c r="L120" s="9">
        <f t="shared" ref="L120:L131" si="105">B$4*O120^B$5*EXP(-B$6/1.987/O120)</f>
        <v>185277979569305.25</v>
      </c>
      <c r="M120" s="6">
        <f t="shared" si="100"/>
        <v>5129049886063391</v>
      </c>
      <c r="N120" s="2">
        <f t="shared" si="101"/>
        <v>25</v>
      </c>
      <c r="O120" s="12">
        <v>400</v>
      </c>
      <c r="P120" s="13"/>
      <c r="Q120" s="6">
        <f t="shared" si="102"/>
        <v>5407578764739.9883</v>
      </c>
      <c r="R120" s="6"/>
      <c r="S120" s="6"/>
    </row>
    <row r="121" spans="4:19" ht="15.75">
      <c r="D121" s="26">
        <f t="shared" si="95"/>
        <v>0.94107305861287727</v>
      </c>
      <c r="E121" s="26">
        <f t="shared" si="96"/>
        <v>-2.6376659547467343E-2</v>
      </c>
      <c r="F121" s="26">
        <f t="shared" si="97"/>
        <v>-3.0245068846355738</v>
      </c>
      <c r="G121" s="27">
        <f t="shared" si="98"/>
        <v>1.8694282538665929E-3</v>
      </c>
      <c r="H121" s="26">
        <f t="shared" si="103"/>
        <v>-0.29621568680955207</v>
      </c>
      <c r="I121" s="26">
        <f t="shared" si="99"/>
        <v>0.94672548918189381</v>
      </c>
      <c r="J121" s="31">
        <f t="shared" si="104"/>
        <v>0.7</v>
      </c>
      <c r="K121" s="27">
        <f>38.7*101325/8.314/O121/1000000</f>
        <v>3.5812264407868166E-4</v>
      </c>
      <c r="L121" s="28">
        <f t="shared" si="105"/>
        <v>235141325974685.37</v>
      </c>
      <c r="M121" s="27">
        <f t="shared" si="100"/>
        <v>1227456140227070</v>
      </c>
      <c r="N121" s="26">
        <f t="shared" si="101"/>
        <v>7.5930144267274109</v>
      </c>
      <c r="O121" s="29">
        <v>1317</v>
      </c>
      <c r="P121" s="30"/>
      <c r="Q121" s="27">
        <f t="shared" si="102"/>
        <v>412904847067.41437</v>
      </c>
      <c r="R121" s="27"/>
      <c r="S121" s="27"/>
    </row>
    <row r="122" spans="4:19" ht="15.75">
      <c r="D122" s="26">
        <f t="shared" si="95"/>
        <v>0.93880083875663756</v>
      </c>
      <c r="E122" s="26">
        <f t="shared" si="96"/>
        <v>-2.7426531059792841E-2</v>
      </c>
      <c r="F122" s="26">
        <f t="shared" si="97"/>
        <v>-2.9233973421359103</v>
      </c>
      <c r="G122" s="27">
        <f t="shared" si="98"/>
        <v>2.3594911062494481E-3</v>
      </c>
      <c r="H122" s="26">
        <f t="shared" si="103"/>
        <v>-0.29621568680955207</v>
      </c>
      <c r="I122" s="26">
        <f t="shared" si="99"/>
        <v>0.94672548918189381</v>
      </c>
      <c r="J122" s="31">
        <f t="shared" si="104"/>
        <v>0.7</v>
      </c>
      <c r="K122" s="27">
        <f>31.5*101325/8.314/O122/1000000</f>
        <v>3.4995364267890929E-4</v>
      </c>
      <c r="L122" s="28">
        <f t="shared" si="105"/>
        <v>226700842124647.22</v>
      </c>
      <c r="M122" s="27">
        <f t="shared" si="100"/>
        <v>1528484220589032.2</v>
      </c>
      <c r="N122" s="26">
        <f t="shared" si="101"/>
        <v>9.115770282588878</v>
      </c>
      <c r="O122" s="29">
        <v>1097</v>
      </c>
      <c r="P122" s="30"/>
      <c r="Q122" s="27">
        <f t="shared" si="102"/>
        <v>500981213114.12433</v>
      </c>
      <c r="R122" s="27"/>
      <c r="S122" s="27"/>
    </row>
    <row r="123" spans="4:19" ht="15.75">
      <c r="D123" s="26">
        <f t="shared" si="95"/>
        <v>0.93030019838317413</v>
      </c>
      <c r="E123" s="26">
        <f t="shared" si="96"/>
        <v>-3.1376886431263677E-2</v>
      </c>
      <c r="F123" s="26">
        <f t="shared" si="97"/>
        <v>-2.6009205216400102</v>
      </c>
      <c r="G123" s="27">
        <f t="shared" si="98"/>
        <v>4.9578703447260633E-3</v>
      </c>
      <c r="H123" s="26">
        <f t="shared" si="103"/>
        <v>-0.29621568680955207</v>
      </c>
      <c r="I123" s="26">
        <f t="shared" si="99"/>
        <v>0.94672548918189381</v>
      </c>
      <c r="J123" s="31">
        <f t="shared" si="104"/>
        <v>0.7</v>
      </c>
      <c r="K123" s="27">
        <f>67.5*101325/8.314/O123/1000000</f>
        <v>7.437983970913786E-4</v>
      </c>
      <c r="L123" s="28">
        <f t="shared" si="105"/>
        <v>227071606886596.31</v>
      </c>
      <c r="M123" s="27">
        <f t="shared" si="100"/>
        <v>1513570868550880</v>
      </c>
      <c r="N123" s="26">
        <f t="shared" si="101"/>
        <v>9.0415913200723335</v>
      </c>
      <c r="O123" s="29">
        <v>1106</v>
      </c>
      <c r="P123" s="30"/>
      <c r="Q123" s="27">
        <f t="shared" si="102"/>
        <v>1042157255162.4565</v>
      </c>
      <c r="R123" s="27"/>
      <c r="S123" s="27"/>
    </row>
    <row r="124" spans="4:19" ht="15.75">
      <c r="D124" s="26">
        <f t="shared" si="95"/>
        <v>0.93232902630836512</v>
      </c>
      <c r="E124" s="26">
        <f t="shared" si="96"/>
        <v>-3.0430794627896714E-2</v>
      </c>
      <c r="F124" s="26">
        <f t="shared" si="97"/>
        <v>-2.6709714524319632</v>
      </c>
      <c r="G124" s="27">
        <f t="shared" si="98"/>
        <v>4.2193371977098772E-3</v>
      </c>
      <c r="H124" s="26">
        <f t="shared" si="103"/>
        <v>-0.29621568680955207</v>
      </c>
      <c r="I124" s="26">
        <f t="shared" si="99"/>
        <v>0.94672548918189381</v>
      </c>
      <c r="J124" s="31">
        <f t="shared" si="104"/>
        <v>0.7</v>
      </c>
      <c r="K124" s="27">
        <f>73.7*101325/8.314/O124/1000000</f>
        <v>7.3203107493002352E-4</v>
      </c>
      <c r="L124" s="28">
        <f t="shared" si="105"/>
        <v>231835917456621.25</v>
      </c>
      <c r="M124" s="27">
        <f t="shared" si="100"/>
        <v>1336273750924339.5</v>
      </c>
      <c r="N124" s="26">
        <f t="shared" si="101"/>
        <v>8.1499592502037483</v>
      </c>
      <c r="O124" s="29">
        <v>1227</v>
      </c>
      <c r="P124" s="30"/>
      <c r="Q124" s="27">
        <f t="shared" si="102"/>
        <v>908166714321.91187</v>
      </c>
      <c r="R124" s="27"/>
      <c r="S124" s="27"/>
    </row>
    <row r="125" spans="4:19" ht="15.75">
      <c r="D125" s="26">
        <f t="shared" si="95"/>
        <v>0.93079970454674454</v>
      </c>
      <c r="E125" s="26">
        <f t="shared" si="96"/>
        <v>-3.1143763238486496E-2</v>
      </c>
      <c r="F125" s="26">
        <f t="shared" si="97"/>
        <v>-2.6178136820285354</v>
      </c>
      <c r="G125" s="27">
        <f t="shared" si="98"/>
        <v>4.7687219942407445E-3</v>
      </c>
      <c r="H125" s="26">
        <f t="shared" si="103"/>
        <v>-0.29621568680955207</v>
      </c>
      <c r="I125" s="26">
        <f t="shared" si="99"/>
        <v>0.94672548918189381</v>
      </c>
      <c r="J125" s="31">
        <f t="shared" si="104"/>
        <v>0.7</v>
      </c>
      <c r="K125" s="27">
        <f>66.2*101325/8.314/O125/1000000</f>
        <v>7.2358526489976933E-4</v>
      </c>
      <c r="L125" s="28">
        <f t="shared" si="105"/>
        <v>227439965792379.06</v>
      </c>
      <c r="M125" s="27">
        <f t="shared" si="100"/>
        <v>1498922131027251.5</v>
      </c>
      <c r="N125" s="26">
        <f t="shared" si="101"/>
        <v>8.9686098654708513</v>
      </c>
      <c r="O125" s="29">
        <v>1115</v>
      </c>
      <c r="P125" s="30"/>
      <c r="Q125" s="27">
        <f t="shared" si="102"/>
        <v>1004752084100.0243</v>
      </c>
      <c r="R125" s="27"/>
      <c r="S125" s="27"/>
    </row>
    <row r="126" spans="4:19" ht="15.75">
      <c r="D126" s="26">
        <f t="shared" si="95"/>
        <v>0.93289254832799007</v>
      </c>
      <c r="E126" s="26">
        <f t="shared" si="96"/>
        <v>-3.0168375927268044E-2</v>
      </c>
      <c r="F126" s="26">
        <f t="shared" si="97"/>
        <v>-2.6911269751928391</v>
      </c>
      <c r="G126" s="27">
        <f t="shared" si="98"/>
        <v>4.0279930414398469E-3</v>
      </c>
      <c r="H126" s="26">
        <f t="shared" si="103"/>
        <v>-0.29621568680955207</v>
      </c>
      <c r="I126" s="26">
        <f t="shared" si="99"/>
        <v>0.94672548918189381</v>
      </c>
      <c r="J126" s="31">
        <f t="shared" si="104"/>
        <v>0.7</v>
      </c>
      <c r="K126" s="27">
        <f>67.1*101325/8.314/O126/1000000</f>
        <v>6.7977233365947639E-4</v>
      </c>
      <c r="L126" s="28">
        <f t="shared" si="105"/>
        <v>230921799604271.5</v>
      </c>
      <c r="M126" s="27">
        <f t="shared" si="100"/>
        <v>1368327829577013</v>
      </c>
      <c r="N126" s="26">
        <f t="shared" si="101"/>
        <v>8.3125519534497094</v>
      </c>
      <c r="O126" s="29">
        <v>1203</v>
      </c>
      <c r="P126" s="30"/>
      <c r="Q126" s="27">
        <f t="shared" si="102"/>
        <v>864250118208.38074</v>
      </c>
      <c r="R126" s="27"/>
      <c r="S126" s="27"/>
    </row>
    <row r="127" spans="4:19" ht="15.75">
      <c r="D127" s="26">
        <f t="shared" si="95"/>
        <v>0.92901250306008742</v>
      </c>
      <c r="E127" s="26">
        <f t="shared" si="96"/>
        <v>-3.1978441040305575E-2</v>
      </c>
      <c r="F127" s="26">
        <f t="shared" si="97"/>
        <v>-2.5583848046849202</v>
      </c>
      <c r="G127" s="27">
        <f t="shared" si="98"/>
        <v>5.4680299180750016E-3</v>
      </c>
      <c r="H127" s="26">
        <f t="shared" si="103"/>
        <v>-0.29621568680955207</v>
      </c>
      <c r="I127" s="26">
        <f t="shared" si="99"/>
        <v>0.94672548918189381</v>
      </c>
      <c r="J127" s="31">
        <f t="shared" si="104"/>
        <v>0.7</v>
      </c>
      <c r="K127" s="27">
        <f>92*101325/8.314/O127/1000000</f>
        <v>9.2816991048371301E-4</v>
      </c>
      <c r="L127" s="28">
        <f t="shared" si="105"/>
        <v>231113436216339.41</v>
      </c>
      <c r="M127" s="27">
        <f t="shared" si="100"/>
        <v>1361534315458977.3</v>
      </c>
      <c r="N127" s="26">
        <f t="shared" si="101"/>
        <v>8.2781456953642376</v>
      </c>
      <c r="O127" s="29">
        <v>1208</v>
      </c>
      <c r="P127" s="30"/>
      <c r="Q127" s="27">
        <f t="shared" si="102"/>
        <v>1167641089801.6851</v>
      </c>
      <c r="R127" s="27"/>
      <c r="S127" s="27"/>
    </row>
    <row r="128" spans="4:19" ht="15.75">
      <c r="D128" s="26">
        <f t="shared" si="95"/>
        <v>0.92734235881730731</v>
      </c>
      <c r="E128" s="26">
        <f t="shared" si="96"/>
        <v>-3.2759902213729999E-2</v>
      </c>
      <c r="F128" s="26">
        <f t="shared" si="97"/>
        <v>-2.5052846937493398</v>
      </c>
      <c r="G128" s="27">
        <f t="shared" si="98"/>
        <v>6.1791820862493454E-3</v>
      </c>
      <c r="H128" s="26">
        <f t="shared" si="103"/>
        <v>-0.29621568680955207</v>
      </c>
      <c r="I128" s="26">
        <f t="shared" si="99"/>
        <v>0.94672548918189381</v>
      </c>
      <c r="J128" s="31">
        <f t="shared" si="104"/>
        <v>0.7</v>
      </c>
      <c r="K128" s="27">
        <f>92*101325/8.314/O128/1000000</f>
        <v>9.7668053298286157E-4</v>
      </c>
      <c r="L128" s="28">
        <f t="shared" si="105"/>
        <v>228770586454766.03</v>
      </c>
      <c r="M128" s="27">
        <f t="shared" si="100"/>
        <v>1447366935188881.2</v>
      </c>
      <c r="N128" s="26">
        <f t="shared" si="101"/>
        <v>8.7108013937282234</v>
      </c>
      <c r="O128" s="29">
        <v>1148</v>
      </c>
      <c r="P128" s="30"/>
      <c r="Q128" s="27">
        <f t="shared" si="102"/>
        <v>1302854594501.0081</v>
      </c>
      <c r="R128" s="27"/>
      <c r="S128" s="27"/>
    </row>
    <row r="129" spans="4:19" ht="15.75">
      <c r="D129" s="26">
        <f t="shared" si="95"/>
        <v>0.92725463248905204</v>
      </c>
      <c r="E129" s="26">
        <f t="shared" si="96"/>
        <v>-3.2800988293871319E-2</v>
      </c>
      <c r="F129" s="26">
        <f t="shared" si="97"/>
        <v>-2.502557330422825</v>
      </c>
      <c r="G129" s="27">
        <f t="shared" si="98"/>
        <v>6.218109367558549E-3</v>
      </c>
      <c r="H129" s="26">
        <f t="shared" si="103"/>
        <v>-0.29621568680955207</v>
      </c>
      <c r="I129" s="26">
        <f t="shared" si="99"/>
        <v>0.94672548918189381</v>
      </c>
      <c r="J129" s="31">
        <f t="shared" si="104"/>
        <v>0.7</v>
      </c>
      <c r="K129" s="27">
        <f>92*101325/8.314/O129/1000000</f>
        <v>9.7923952127888683E-4</v>
      </c>
      <c r="L129" s="28">
        <f t="shared" si="105"/>
        <v>228650894767428.16</v>
      </c>
      <c r="M129" s="27">
        <f t="shared" si="100"/>
        <v>1451918800006304</v>
      </c>
      <c r="N129" s="26">
        <f t="shared" si="101"/>
        <v>8.7336244541484724</v>
      </c>
      <c r="O129" s="29">
        <v>1145</v>
      </c>
      <c r="P129" s="30"/>
      <c r="Q129" s="27">
        <f t="shared" si="102"/>
        <v>1310201656135.5122</v>
      </c>
      <c r="R129" s="27"/>
      <c r="S129" s="27"/>
    </row>
    <row r="130" spans="4:19" ht="15.75">
      <c r="D130" s="26">
        <f t="shared" si="95"/>
        <v>0.92899884655912879</v>
      </c>
      <c r="E130" s="26">
        <f>LOG(J130)/(1+(F130/(I130-0.14*F130))^2)</f>
        <v>-3.1984825224137085E-2</v>
      </c>
      <c r="F130" s="26">
        <f>LOG(G130)+H130</f>
        <v>-2.5579413198252401</v>
      </c>
      <c r="G130" s="27">
        <f>M130*K130/L130</f>
        <v>5.4736165123242817E-3</v>
      </c>
      <c r="H130" s="26">
        <f>-0.4-0.67*LOG(J130)</f>
        <v>-0.29621568680955207</v>
      </c>
      <c r="I130" s="26">
        <f>0.75-1.27*LOG(J130)</f>
        <v>0.94672548918189381</v>
      </c>
      <c r="J130" s="31">
        <f t="shared" si="104"/>
        <v>0.7</v>
      </c>
      <c r="K130" s="27">
        <f>91*101325/8.314/O130/1000000</f>
        <v>9.2266387469845191E-4</v>
      </c>
      <c r="L130" s="28">
        <f t="shared" si="105"/>
        <v>230883395843689.56</v>
      </c>
      <c r="M130" s="27">
        <f>$B$7*O130^$B$8*EXP(-$B$9/1.987/O130)</f>
        <v>1369693994277766</v>
      </c>
      <c r="N130" s="26">
        <f>10000/O130</f>
        <v>8.3194675540765388</v>
      </c>
      <c r="O130" s="29">
        <v>1202</v>
      </c>
      <c r="P130" s="30"/>
      <c r="Q130" s="27">
        <f>L130/(1+L130/M130/K130)*D130</f>
        <v>1167646989466.9893</v>
      </c>
      <c r="R130" s="27"/>
      <c r="S130" s="27"/>
    </row>
    <row r="131" spans="4:19" ht="15.75">
      <c r="D131" s="26">
        <f t="shared" si="95"/>
        <v>0.92714535815894072</v>
      </c>
      <c r="E131" s="26">
        <f>LOG(J131)/(1+(F131/(I131-0.14*F131))^2)</f>
        <v>-3.2852171683512468E-2</v>
      </c>
      <c r="F131" s="26">
        <f>LOG(G131)+H131</f>
        <v>-2.4991684477255709</v>
      </c>
      <c r="G131" s="27">
        <f>M131*K131/L131</f>
        <v>6.2668202642923287E-3</v>
      </c>
      <c r="H131" s="26">
        <f>-0.4-0.67*LOG(J131)</f>
        <v>-0.29621568680955207</v>
      </c>
      <c r="I131" s="26">
        <f>0.75-1.27*LOG(J131)</f>
        <v>0.94672548918189381</v>
      </c>
      <c r="J131" s="31">
        <f t="shared" si="104"/>
        <v>0.7</v>
      </c>
      <c r="K131" s="27">
        <f>93.5*101325/8.314/O131/1000000</f>
        <v>9.9174078640513878E-4</v>
      </c>
      <c r="L131" s="28">
        <f t="shared" si="105"/>
        <v>228810428077951.47</v>
      </c>
      <c r="M131" s="27">
        <f>$B$7*O131^$B$8*EXP(-$B$9/1.987/O131)</f>
        <v>1445855456402028.5</v>
      </c>
      <c r="N131" s="26">
        <f>10000/O131</f>
        <v>8.7032201914708445</v>
      </c>
      <c r="O131" s="29">
        <v>1149</v>
      </c>
      <c r="P131" s="30"/>
      <c r="Q131" s="27">
        <f>L131/(1+L131/M131/K131)*D131</f>
        <v>1321167032703.9666</v>
      </c>
      <c r="R131" s="27"/>
      <c r="S131" s="27"/>
    </row>
    <row r="132" spans="4:19">
      <c r="D132" s="2" t="s">
        <v>4</v>
      </c>
      <c r="E132" s="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10</v>
      </c>
      <c r="K132" t="s">
        <v>11</v>
      </c>
      <c r="L132" t="s">
        <v>12</v>
      </c>
      <c r="M132" t="s">
        <v>13</v>
      </c>
      <c r="N132" t="s">
        <v>14</v>
      </c>
      <c r="P132">
        <f>760*50</f>
        <v>38000</v>
      </c>
      <c r="Q132" t="s">
        <v>16</v>
      </c>
      <c r="R132" s="6"/>
      <c r="S132" s="6"/>
    </row>
    <row r="133" spans="4:19" ht="15.75">
      <c r="D133" s="2">
        <f t="shared" ref="D133:D145" si="106">10^E133</f>
        <v>0.86453476527662676</v>
      </c>
      <c r="E133" s="2">
        <f t="shared" ref="E133:E143" si="107">LOG(J133)/(1+(F133/(I133-0.14*F133))^2)</f>
        <v>-6.3217537885462041E-2</v>
      </c>
      <c r="F133" s="2">
        <f t="shared" ref="F133:F143" si="108">LOG(G133)+H133</f>
        <v>-1.3713329967373751</v>
      </c>
      <c r="G133" s="6">
        <f t="shared" ref="G133:G143" si="109">M133*K133/L133</f>
        <v>8.4116789797096067E-2</v>
      </c>
      <c r="H133" s="2">
        <f>-0.4-0.67*LOG(J133)</f>
        <v>-0.29621568680955207</v>
      </c>
      <c r="I133" s="2">
        <f t="shared" ref="I133:I143" si="110">0.75-1.27*LOG(J133)</f>
        <v>0.94672548918189381</v>
      </c>
      <c r="J133" s="4">
        <f>(1-$B$10)*EXP(-O133/$B$11)+$B$10*EXP(-O133/$B$12)+EXP(-B$13/O133)</f>
        <v>0.7</v>
      </c>
      <c r="K133" s="6">
        <f>$P$132*101325/760/8.314/O133/1000000</f>
        <v>2.0312124127976907E-3</v>
      </c>
      <c r="L133" s="9">
        <f>B$4*O133^B$5*EXP(-B$6/1.987/O133)</f>
        <v>174918626629333.09</v>
      </c>
      <c r="M133" s="6">
        <f t="shared" ref="M133:M143" si="111">$B$7*O133^$B$8*EXP(-$B$9/1.987/O133)</f>
        <v>7243749228329386</v>
      </c>
      <c r="N133" s="2">
        <f t="shared" ref="N133:N143" si="112">10000/O133</f>
        <v>33.333333333333336</v>
      </c>
      <c r="O133" s="12">
        <v>300</v>
      </c>
      <c r="P133" s="13"/>
      <c r="Q133" s="6">
        <f t="shared" ref="Q133:Q143" si="113">L133/(1+L133/M133/K133)*D133</f>
        <v>11733434156735.379</v>
      </c>
      <c r="R133" s="6"/>
    </row>
    <row r="134" spans="4:19" ht="15.75">
      <c r="D134" s="2">
        <f t="shared" si="106"/>
        <v>0.88802497151767679</v>
      </c>
      <c r="E134" s="2">
        <f t="shared" si="107"/>
        <v>-5.1574821563912313E-2</v>
      </c>
      <c r="F134" s="2">
        <f t="shared" si="108"/>
        <v>-1.6711859645972951</v>
      </c>
      <c r="G134" s="6">
        <f t="shared" si="109"/>
        <v>4.2172536444894292E-2</v>
      </c>
      <c r="H134" s="2">
        <f t="shared" ref="H134:H143" si="114">-0.4-0.67*LOG(J134)</f>
        <v>-0.29621568680955207</v>
      </c>
      <c r="I134" s="2">
        <f t="shared" si="110"/>
        <v>0.94672548918189381</v>
      </c>
      <c r="J134" s="4">
        <f t="shared" ref="J134:J145" si="115">(1-$B$10)*EXP(-O134/$B$11)+$B$10*EXP(-O134/$B$12)+EXP(-B$13/O134)</f>
        <v>0.7</v>
      </c>
      <c r="K134" s="6">
        <f t="shared" ref="K134:K145" si="116">$P$132*101325/760/8.314/O134/1000000</f>
        <v>1.5234093095982679E-3</v>
      </c>
      <c r="L134" s="9">
        <f t="shared" ref="L134:L145" si="117">B$4*O134^B$5*EXP(-B$6/1.987/O134)</f>
        <v>185277979569305.25</v>
      </c>
      <c r="M134" s="6">
        <f t="shared" si="111"/>
        <v>5129049886063391</v>
      </c>
      <c r="N134" s="2">
        <f t="shared" si="112"/>
        <v>25</v>
      </c>
      <c r="O134" s="12">
        <v>400</v>
      </c>
      <c r="P134" s="13"/>
      <c r="Q134" s="6">
        <f t="shared" si="113"/>
        <v>6657927818044.7314</v>
      </c>
      <c r="R134" s="6"/>
      <c r="S134" s="6"/>
    </row>
    <row r="135" spans="4:19" ht="15.75">
      <c r="D135" s="2">
        <f t="shared" si="106"/>
        <v>0.90210957264741121</v>
      </c>
      <c r="E135" s="2">
        <f t="shared" si="107"/>
        <v>-4.4740708681992487E-2</v>
      </c>
      <c r="F135" s="2">
        <f t="shared" si="108"/>
        <v>-1.9037699958166303</v>
      </c>
      <c r="G135" s="6">
        <f t="shared" si="109"/>
        <v>2.4685713880114497E-2</v>
      </c>
      <c r="H135" s="2">
        <f t="shared" si="114"/>
        <v>-0.29621568680955207</v>
      </c>
      <c r="I135" s="2">
        <f t="shared" si="110"/>
        <v>0.94672548918189381</v>
      </c>
      <c r="J135" s="4">
        <f t="shared" si="115"/>
        <v>0.7</v>
      </c>
      <c r="K135" s="6">
        <f t="shared" si="116"/>
        <v>1.2187274476786144E-3</v>
      </c>
      <c r="L135" s="9">
        <f t="shared" si="117"/>
        <v>193733983661863.44</v>
      </c>
      <c r="M135" s="6">
        <f t="shared" si="111"/>
        <v>3924143744067624</v>
      </c>
      <c r="N135" s="2">
        <f t="shared" si="112"/>
        <v>20</v>
      </c>
      <c r="O135" s="12">
        <v>500</v>
      </c>
      <c r="P135" s="13"/>
      <c r="Q135" s="6">
        <f t="shared" si="113"/>
        <v>4210368518371.5503</v>
      </c>
      <c r="R135" s="6"/>
      <c r="S135" s="6"/>
    </row>
    <row r="136" spans="4:19" ht="15.75">
      <c r="D136" s="2">
        <f t="shared" si="106"/>
        <v>0.91155980928460167</v>
      </c>
      <c r="E136" s="2">
        <f t="shared" si="107"/>
        <v>-4.0214831133942447E-2</v>
      </c>
      <c r="F136" s="2">
        <f t="shared" si="108"/>
        <v>-2.0938049863309303</v>
      </c>
      <c r="G136" s="6">
        <f t="shared" si="109"/>
        <v>1.593715147714141E-2</v>
      </c>
      <c r="H136" s="2">
        <f t="shared" si="114"/>
        <v>-0.29621568680955207</v>
      </c>
      <c r="I136" s="2">
        <f t="shared" si="110"/>
        <v>0.94672548918189381</v>
      </c>
      <c r="J136" s="4">
        <f t="shared" si="115"/>
        <v>0.7</v>
      </c>
      <c r="K136" s="6">
        <f t="shared" si="116"/>
        <v>1.0156062063988453E-3</v>
      </c>
      <c r="L136" s="9">
        <f t="shared" si="117"/>
        <v>200928738667455.53</v>
      </c>
      <c r="M136" s="6">
        <f t="shared" si="111"/>
        <v>3153024985549005</v>
      </c>
      <c r="N136" s="2">
        <f t="shared" si="112"/>
        <v>16.666666666666668</v>
      </c>
      <c r="O136" s="12">
        <v>600</v>
      </c>
      <c r="P136" s="13"/>
      <c r="Q136" s="6">
        <f t="shared" si="113"/>
        <v>2873234583294.1353</v>
      </c>
      <c r="R136" s="6"/>
    </row>
    <row r="137" spans="4:19" ht="15.75">
      <c r="D137" s="2">
        <f t="shared" si="106"/>
        <v>0.91838897693999577</v>
      </c>
      <c r="E137" s="2">
        <f t="shared" si="107"/>
        <v>-3.6973337579881228E-2</v>
      </c>
      <c r="F137" s="2">
        <f t="shared" si="108"/>
        <v>-2.2544772814444016</v>
      </c>
      <c r="G137" s="6">
        <f t="shared" si="109"/>
        <v>1.1008760038395477E-2</v>
      </c>
      <c r="H137" s="2">
        <f t="shared" si="114"/>
        <v>-0.29621568680955207</v>
      </c>
      <c r="I137" s="2">
        <f t="shared" si="110"/>
        <v>0.94672548918189381</v>
      </c>
      <c r="J137" s="4">
        <f t="shared" si="115"/>
        <v>0.7</v>
      </c>
      <c r="K137" s="6">
        <f t="shared" si="116"/>
        <v>8.7051960548472458E-4</v>
      </c>
      <c r="L137" s="9">
        <f t="shared" si="117"/>
        <v>207219879055280.06</v>
      </c>
      <c r="M137" s="6">
        <f t="shared" si="111"/>
        <v>2620542845137496.5</v>
      </c>
      <c r="N137" s="2">
        <f t="shared" si="112"/>
        <v>14.285714285714286</v>
      </c>
      <c r="O137" s="12">
        <v>700</v>
      </c>
      <c r="P137" s="13"/>
      <c r="Q137" s="6">
        <f t="shared" si="113"/>
        <v>2072247216999.98</v>
      </c>
      <c r="R137" s="6"/>
    </row>
    <row r="138" spans="4:19" ht="15.75">
      <c r="D138" s="2">
        <f t="shared" si="106"/>
        <v>0.92358739082536978</v>
      </c>
      <c r="E138" s="2">
        <f t="shared" si="107"/>
        <v>-3.4522004871734298E-2</v>
      </c>
      <c r="F138" s="2">
        <f t="shared" si="108"/>
        <v>-2.3936579541908496</v>
      </c>
      <c r="G138" s="6">
        <f t="shared" si="109"/>
        <v>7.9902015176612304E-3</v>
      </c>
      <c r="H138" s="2">
        <f t="shared" si="114"/>
        <v>-0.29621568680955207</v>
      </c>
      <c r="I138" s="2">
        <f t="shared" si="110"/>
        <v>0.94672548918189381</v>
      </c>
      <c r="J138" s="4">
        <f t="shared" si="115"/>
        <v>0.7</v>
      </c>
      <c r="K138" s="6">
        <f t="shared" si="116"/>
        <v>7.6170465479913395E-4</v>
      </c>
      <c r="L138" s="9">
        <f t="shared" si="117"/>
        <v>212828510348435.22</v>
      </c>
      <c r="M138" s="6">
        <f t="shared" si="111"/>
        <v>2232548633743205</v>
      </c>
      <c r="N138" s="2">
        <f t="shared" si="112"/>
        <v>12.5</v>
      </c>
      <c r="O138" s="12">
        <v>800</v>
      </c>
      <c r="P138" s="13"/>
      <c r="Q138" s="6">
        <f t="shared" si="113"/>
        <v>1558149851400.5271</v>
      </c>
      <c r="R138" s="6"/>
    </row>
    <row r="139" spans="4:19" ht="15.75">
      <c r="D139" s="2">
        <f t="shared" si="106"/>
        <v>0.92769865723153899</v>
      </c>
      <c r="E139" s="2">
        <f t="shared" si="107"/>
        <v>-3.259307200806251E-2</v>
      </c>
      <c r="F139" s="2">
        <f t="shared" si="108"/>
        <v>-2.5164240080645652</v>
      </c>
      <c r="G139" s="6">
        <f t="shared" si="109"/>
        <v>6.0227062115942682E-3</v>
      </c>
      <c r="H139" s="2">
        <f t="shared" si="114"/>
        <v>-0.29621568680955207</v>
      </c>
      <c r="I139" s="2">
        <f t="shared" si="110"/>
        <v>0.94672548918189381</v>
      </c>
      <c r="J139" s="4">
        <f t="shared" si="115"/>
        <v>0.7</v>
      </c>
      <c r="K139" s="6">
        <f t="shared" si="116"/>
        <v>6.7707080426589682E-4</v>
      </c>
      <c r="L139" s="9">
        <f t="shared" si="117"/>
        <v>217901545107214.97</v>
      </c>
      <c r="M139" s="6">
        <f t="shared" si="111"/>
        <v>1938286189516197.2</v>
      </c>
      <c r="N139" s="2">
        <f t="shared" si="112"/>
        <v>11.111111111111111</v>
      </c>
      <c r="O139" s="12">
        <v>900</v>
      </c>
      <c r="P139" s="13"/>
      <c r="Q139" s="6">
        <f t="shared" si="113"/>
        <v>1210183238611.7219</v>
      </c>
      <c r="R139" s="6"/>
      <c r="S139" s="6"/>
    </row>
    <row r="140" spans="4:19" ht="15.75">
      <c r="D140" s="2">
        <f t="shared" si="106"/>
        <v>0.93104644530447778</v>
      </c>
      <c r="E140" s="2">
        <f t="shared" si="107"/>
        <v>-3.1028653673520496E-2</v>
      </c>
      <c r="F140" s="2">
        <f t="shared" si="108"/>
        <v>-2.6262419854101853</v>
      </c>
      <c r="G140" s="6">
        <f t="shared" si="109"/>
        <v>4.6770681855281522E-3</v>
      </c>
      <c r="H140" s="2">
        <f t="shared" si="114"/>
        <v>-0.29621568680955207</v>
      </c>
      <c r="I140" s="2">
        <f t="shared" si="110"/>
        <v>0.94672548918189381</v>
      </c>
      <c r="J140" s="4">
        <f t="shared" si="115"/>
        <v>0.7</v>
      </c>
      <c r="K140" s="6">
        <f t="shared" si="116"/>
        <v>6.093637238393072E-4</v>
      </c>
      <c r="L140" s="9">
        <f t="shared" si="117"/>
        <v>222541908339404.97</v>
      </c>
      <c r="M140" s="6">
        <f t="shared" si="111"/>
        <v>1708082773426515.5</v>
      </c>
      <c r="N140" s="2">
        <f t="shared" si="112"/>
        <v>10</v>
      </c>
      <c r="O140" s="12">
        <v>1000</v>
      </c>
      <c r="P140" s="13"/>
      <c r="Q140" s="6">
        <f t="shared" si="113"/>
        <v>964562483357.26843</v>
      </c>
      <c r="R140" s="6"/>
    </row>
    <row r="141" spans="4:19" ht="15.75">
      <c r="D141" s="2">
        <f t="shared" si="106"/>
        <v>0.93383587423463965</v>
      </c>
      <c r="E141" s="2">
        <f t="shared" si="107"/>
        <v>-2.9729446229926629E-2</v>
      </c>
      <c r="F141" s="2">
        <f t="shared" si="108"/>
        <v>-2.7255844297899254</v>
      </c>
      <c r="G141" s="6">
        <f t="shared" si="109"/>
        <v>3.720756567660554E-3</v>
      </c>
      <c r="H141" s="2">
        <f t="shared" si="114"/>
        <v>-0.29621568680955207</v>
      </c>
      <c r="I141" s="2">
        <f t="shared" si="110"/>
        <v>0.94672548918189381</v>
      </c>
      <c r="J141" s="4">
        <f t="shared" si="115"/>
        <v>0.7</v>
      </c>
      <c r="K141" s="6">
        <f t="shared" si="116"/>
        <v>5.5396702167209743E-4</v>
      </c>
      <c r="L141" s="9">
        <f t="shared" si="117"/>
        <v>226824699879569.84</v>
      </c>
      <c r="M141" s="6">
        <f t="shared" si="111"/>
        <v>1523483273854698.2</v>
      </c>
      <c r="N141" s="2">
        <f t="shared" si="112"/>
        <v>9.0909090909090917</v>
      </c>
      <c r="O141" s="12">
        <v>1100</v>
      </c>
      <c r="P141" s="13"/>
      <c r="Q141" s="6">
        <f t="shared" si="113"/>
        <v>785198118771.90613</v>
      </c>
      <c r="R141" s="6"/>
    </row>
    <row r="142" spans="4:19" ht="15.75">
      <c r="D142" s="2">
        <f t="shared" si="106"/>
        <v>0.93620349898314426</v>
      </c>
      <c r="E142" s="2">
        <f t="shared" si="107"/>
        <v>-2.8629740065837826E-2</v>
      </c>
      <c r="F142" s="2">
        <f t="shared" si="108"/>
        <v>-2.8162769759244854</v>
      </c>
      <c r="G142" s="6">
        <f t="shared" si="109"/>
        <v>3.0195255646111091E-3</v>
      </c>
      <c r="H142" s="2">
        <f t="shared" si="114"/>
        <v>-0.29621568680955207</v>
      </c>
      <c r="I142" s="2">
        <f t="shared" si="110"/>
        <v>0.94672548918189381</v>
      </c>
      <c r="J142" s="4">
        <f t="shared" si="115"/>
        <v>0.7</v>
      </c>
      <c r="K142" s="6">
        <f t="shared" si="116"/>
        <v>5.0780310319942267E-4</v>
      </c>
      <c r="L142" s="9">
        <f t="shared" si="117"/>
        <v>230806511578935.31</v>
      </c>
      <c r="M142" s="6">
        <f t="shared" si="111"/>
        <v>1372433838628218.7</v>
      </c>
      <c r="N142" s="2">
        <f t="shared" si="112"/>
        <v>8.3333333333333339</v>
      </c>
      <c r="O142" s="12">
        <v>1200</v>
      </c>
      <c r="P142" s="13"/>
      <c r="Q142" s="6">
        <f t="shared" si="113"/>
        <v>650500508660.70056</v>
      </c>
    </row>
    <row r="143" spans="4:19" ht="15.75">
      <c r="D143" s="2">
        <f t="shared" si="106"/>
        <v>0.93824392501463516</v>
      </c>
      <c r="E143" s="2">
        <f t="shared" si="107"/>
        <v>-2.7684238895868997E-2</v>
      </c>
      <c r="F143" s="2">
        <f t="shared" si="108"/>
        <v>-2.8997060309465934</v>
      </c>
      <c r="G143" s="6">
        <f t="shared" si="109"/>
        <v>2.4917797714892904E-3</v>
      </c>
      <c r="H143" s="2">
        <f t="shared" si="114"/>
        <v>-0.29621568680955207</v>
      </c>
      <c r="I143" s="2">
        <f t="shared" si="110"/>
        <v>0.94672548918189381</v>
      </c>
      <c r="J143" s="4">
        <f t="shared" si="115"/>
        <v>0.7</v>
      </c>
      <c r="K143" s="6">
        <f t="shared" si="116"/>
        <v>4.6874132603023634E-4</v>
      </c>
      <c r="L143" s="9">
        <f t="shared" si="117"/>
        <v>234531120441019.87</v>
      </c>
      <c r="M143" s="6">
        <f t="shared" si="111"/>
        <v>1246742860606992.5</v>
      </c>
      <c r="N143" s="2">
        <f t="shared" si="112"/>
        <v>7.6923076923076925</v>
      </c>
      <c r="O143" s="12">
        <v>1300</v>
      </c>
      <c r="P143" s="13"/>
      <c r="Q143" s="6">
        <f t="shared" si="113"/>
        <v>546946786609.8927</v>
      </c>
      <c r="R143" s="6"/>
    </row>
    <row r="144" spans="4:19" ht="15.75">
      <c r="D144" s="2">
        <f t="shared" si="106"/>
        <v>0.94159623082064448</v>
      </c>
      <c r="E144" s="2">
        <f>LOG(J144)/(1+(F144/(I144-0.14*F144))^2)</f>
        <v>-2.6135288627951968E-2</v>
      </c>
      <c r="F144" s="2">
        <f>LOG(G144)+H144</f>
        <v>-3.0488610071438202</v>
      </c>
      <c r="G144" s="6">
        <f>M144*K144/L144</f>
        <v>1.7674806977540788E-3</v>
      </c>
      <c r="H144" s="2">
        <f>-0.4-0.67*LOG(J144)</f>
        <v>-0.29621568680955207</v>
      </c>
      <c r="I144" s="2">
        <f>0.75-1.27*LOG(J144)</f>
        <v>0.94672548918189381</v>
      </c>
      <c r="J144" s="4">
        <f t="shared" si="115"/>
        <v>0.7</v>
      </c>
      <c r="K144" s="6">
        <f t="shared" si="116"/>
        <v>4.0624248255953814E-4</v>
      </c>
      <c r="L144" s="9">
        <f t="shared" si="117"/>
        <v>241340417502550.47</v>
      </c>
      <c r="M144" s="6">
        <f>$B$7*O144^$B$8*EXP(-$B$9/1.987/O144)</f>
        <v>1050024425894827.7</v>
      </c>
      <c r="N144" s="2">
        <f>10000/O144</f>
        <v>6.666666666666667</v>
      </c>
      <c r="O144" s="12">
        <v>1500</v>
      </c>
      <c r="P144" s="13"/>
      <c r="Q144" s="6">
        <f>L144/(1+L144/M144/K144)*D144</f>
        <v>400942894374.5592</v>
      </c>
      <c r="R144" s="6"/>
    </row>
    <row r="145" spans="4:19" ht="15.75">
      <c r="D145" s="2">
        <f t="shared" si="106"/>
        <v>0.9453871323453944</v>
      </c>
      <c r="E145" s="2">
        <f>LOG(J145)/(1+(F145/(I145-0.14*F145))^2)</f>
        <v>-2.4390313170635631E-2</v>
      </c>
      <c r="F145" s="2">
        <f>LOG(G145)+H145</f>
        <v>-3.2388959976581204</v>
      </c>
      <c r="G145" s="6">
        <f>M145*K145/L145</f>
        <v>1.1410894475173137E-3</v>
      </c>
      <c r="H145" s="2">
        <f>-0.4-0.67*LOG(J145)</f>
        <v>-0.29621568680955207</v>
      </c>
      <c r="I145" s="2">
        <f>0.75-1.27*LOG(J145)</f>
        <v>0.94672548918189381</v>
      </c>
      <c r="J145" s="4">
        <f t="shared" si="115"/>
        <v>0.7</v>
      </c>
      <c r="K145" s="6">
        <f t="shared" si="116"/>
        <v>3.3853540213294841E-4</v>
      </c>
      <c r="L145" s="9">
        <f t="shared" si="117"/>
        <v>250303146415970.06</v>
      </c>
      <c r="M145" s="6">
        <f>$B$7*O145^$B$8*EXP(-$B$9/1.987/O145)</f>
        <v>843688067056211.62</v>
      </c>
      <c r="N145" s="2">
        <f>10000/O145</f>
        <v>5.5555555555555554</v>
      </c>
      <c r="O145" s="12">
        <v>1800</v>
      </c>
      <c r="P145" s="13"/>
      <c r="Q145" s="6">
        <f>L145/(1+L145/M145/K145)*D145</f>
        <v>269712080173.28873</v>
      </c>
      <c r="R145" s="6"/>
    </row>
    <row r="146" spans="4:19">
      <c r="D146" s="2" t="s">
        <v>4</v>
      </c>
      <c r="E146" s="2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P146">
        <f>760*100</f>
        <v>76000</v>
      </c>
      <c r="Q146" t="s">
        <v>16</v>
      </c>
      <c r="R146" s="6"/>
    </row>
    <row r="147" spans="4:19" ht="15.75">
      <c r="D147" s="2">
        <f t="shared" ref="D147:D159" si="118">10^E147</f>
        <v>0.83305123038099738</v>
      </c>
      <c r="E147" s="2">
        <f t="shared" ref="E147:E157" si="119">LOG(J147)/(1+(F147/(I147-0.14*F147))^2)</f>
        <v>-7.9328289844556574E-2</v>
      </c>
      <c r="F147" s="2">
        <f t="shared" ref="F147:F157" si="120">LOG(G147)+H147</f>
        <v>-1.0703030010733938</v>
      </c>
      <c r="G147" s="6">
        <f t="shared" ref="G147:G157" si="121">M147*K147/L147</f>
        <v>0.16823357959419213</v>
      </c>
      <c r="H147" s="2">
        <f>-0.4-0.67*LOG(J147)</f>
        <v>-0.29621568680955207</v>
      </c>
      <c r="I147" s="2">
        <f t="shared" ref="I147:I157" si="122">0.75-1.27*LOG(J147)</f>
        <v>0.94672548918189381</v>
      </c>
      <c r="J147" s="4">
        <f>(1-$B$10)*EXP(-O147/$B$11)+$B$10*EXP(-O147/$B$12)+EXP(-B$13/O147)</f>
        <v>0.7</v>
      </c>
      <c r="K147" s="6">
        <f>$P$146*101325/760/8.314/O147/1000000</f>
        <v>4.0624248255953814E-3</v>
      </c>
      <c r="L147" s="9">
        <f>B$4*O147^B$5*EXP(-B$6/1.987/O147)</f>
        <v>174918626629333.09</v>
      </c>
      <c r="M147" s="6">
        <f t="shared" ref="M147:M157" si="123">$B$7*O147^$B$8*EXP(-$B$9/1.987/O147)</f>
        <v>7243749228329386</v>
      </c>
      <c r="N147" s="2">
        <f t="shared" ref="N147:N157" si="124">10000/O147</f>
        <v>33.333333333333336</v>
      </c>
      <c r="O147" s="12">
        <v>300</v>
      </c>
      <c r="P147" s="13"/>
      <c r="Q147" s="6">
        <f t="shared" ref="Q147:Q157" si="125">L147/(1+L147/M147/K147)*D147</f>
        <v>20984120394739.039</v>
      </c>
      <c r="R147" s="6"/>
      <c r="S147" s="6"/>
    </row>
    <row r="148" spans="4:19" ht="15.75">
      <c r="D148" s="2">
        <f t="shared" si="118"/>
        <v>0.86442839841132391</v>
      </c>
      <c r="E148" s="2">
        <f t="shared" si="119"/>
        <v>-6.3270974006817124E-2</v>
      </c>
      <c r="F148" s="2">
        <f t="shared" si="120"/>
        <v>-1.3701559689333138</v>
      </c>
      <c r="G148" s="6">
        <f t="shared" si="121"/>
        <v>8.4345072889788583E-2</v>
      </c>
      <c r="H148" s="2">
        <f t="shared" ref="H148:H157" si="126">-0.4-0.67*LOG(J148)</f>
        <v>-0.29621568680955207</v>
      </c>
      <c r="I148" s="2">
        <f t="shared" si="122"/>
        <v>0.94672548918189381</v>
      </c>
      <c r="J148" s="4">
        <f t="shared" ref="J148:J159" si="127">(1-$B$10)*EXP(-O148/$B$11)+$B$10*EXP(-O148/$B$12)+EXP(-B$13/O148)</f>
        <v>0.7</v>
      </c>
      <c r="K148" s="6">
        <f>$P$146*101325/760/8.314/O148/1000000</f>
        <v>3.0468186191965358E-3</v>
      </c>
      <c r="L148" s="9">
        <f t="shared" ref="L148:L159" si="128">B$4*O148^B$5*EXP(-B$6/1.987/O148)</f>
        <v>185277979569305.25</v>
      </c>
      <c r="M148" s="6">
        <f t="shared" si="123"/>
        <v>5129049886063391</v>
      </c>
      <c r="N148" s="2">
        <f t="shared" si="124"/>
        <v>25</v>
      </c>
      <c r="O148" s="12">
        <v>400</v>
      </c>
      <c r="P148" s="13"/>
      <c r="Q148" s="6">
        <f t="shared" si="125"/>
        <v>12457905712170.088</v>
      </c>
      <c r="R148" s="6"/>
      <c r="S148" s="6"/>
    </row>
    <row r="149" spans="4:19" ht="15.75">
      <c r="D149" s="2">
        <f t="shared" si="118"/>
        <v>0.88324876340604508</v>
      </c>
      <c r="E149" s="2">
        <f t="shared" si="119"/>
        <v>-5.3916961927429861E-2</v>
      </c>
      <c r="F149" s="2">
        <f t="shared" si="120"/>
        <v>-1.6027400001526491</v>
      </c>
      <c r="G149" s="6">
        <f t="shared" si="121"/>
        <v>4.9371427760228993E-2</v>
      </c>
      <c r="H149" s="2">
        <f t="shared" si="126"/>
        <v>-0.29621568680955207</v>
      </c>
      <c r="I149" s="2">
        <f t="shared" si="122"/>
        <v>0.94672548918189381</v>
      </c>
      <c r="J149" s="4">
        <f t="shared" si="127"/>
        <v>0.7</v>
      </c>
      <c r="K149" s="6">
        <f>$P$146*101325/760/8.314/O149/1000000</f>
        <v>2.4374548953572288E-3</v>
      </c>
      <c r="L149" s="9">
        <f t="shared" si="128"/>
        <v>193733983661863.44</v>
      </c>
      <c r="M149" s="6">
        <f t="shared" si="123"/>
        <v>3924143744067624</v>
      </c>
      <c r="N149" s="2">
        <f t="shared" si="124"/>
        <v>20</v>
      </c>
      <c r="O149" s="12">
        <v>500</v>
      </c>
      <c r="P149" s="13"/>
      <c r="Q149" s="6">
        <f t="shared" si="125"/>
        <v>8050730678519.4492</v>
      </c>
      <c r="R149" s="6"/>
      <c r="S149" s="6"/>
    </row>
    <row r="150" spans="4:19" ht="15.75">
      <c r="D150" s="2">
        <f t="shared" si="118"/>
        <v>0.8957733934522889</v>
      </c>
      <c r="E150" s="2">
        <f t="shared" si="119"/>
        <v>-4.7801841253306908E-2</v>
      </c>
      <c r="F150" s="2">
        <f t="shared" si="120"/>
        <v>-1.7927749906669488</v>
      </c>
      <c r="G150" s="6">
        <f t="shared" si="121"/>
        <v>3.187430295428282E-2</v>
      </c>
      <c r="H150" s="2">
        <f t="shared" si="126"/>
        <v>-0.29621568680955207</v>
      </c>
      <c r="I150" s="2">
        <f t="shared" si="122"/>
        <v>0.94672548918189381</v>
      </c>
      <c r="J150" s="4">
        <f t="shared" si="127"/>
        <v>0.7</v>
      </c>
      <c r="K150" s="6">
        <f>$P$146*101325/760/8.314/O150/1000000</f>
        <v>2.0312124127976907E-3</v>
      </c>
      <c r="L150" s="9">
        <f t="shared" si="128"/>
        <v>200928738667455.53</v>
      </c>
      <c r="M150" s="6">
        <f t="shared" si="123"/>
        <v>3153024985549005</v>
      </c>
      <c r="N150" s="2">
        <f t="shared" si="124"/>
        <v>16.666666666666668</v>
      </c>
      <c r="O150" s="12">
        <v>600</v>
      </c>
      <c r="P150" s="13"/>
      <c r="Q150" s="6">
        <f t="shared" si="125"/>
        <v>5559735304888.8047</v>
      </c>
      <c r="R150" s="6"/>
      <c r="S150" s="6"/>
    </row>
    <row r="151" spans="4:19" ht="15.75">
      <c r="D151" s="26">
        <f t="shared" si="118"/>
        <v>0.92179614605521476</v>
      </c>
      <c r="E151" s="26">
        <f t="shared" si="119"/>
        <v>-3.5365111952931204E-2</v>
      </c>
      <c r="F151" s="26">
        <f t="shared" si="120"/>
        <v>-2.3438324930659107</v>
      </c>
      <c r="G151" s="27">
        <f t="shared" si="121"/>
        <v>8.9615512692703941E-3</v>
      </c>
      <c r="H151" s="26">
        <f t="shared" si="126"/>
        <v>-0.29621568680955207</v>
      </c>
      <c r="I151" s="26">
        <f t="shared" si="122"/>
        <v>0.94672548918189381</v>
      </c>
      <c r="J151" s="31">
        <f t="shared" si="127"/>
        <v>0.7</v>
      </c>
      <c r="K151" s="27">
        <f>127.1*101325/8.314/O151/1000000</f>
        <v>1.3768911875551278E-3</v>
      </c>
      <c r="L151" s="28">
        <f t="shared" si="128"/>
        <v>227846474134855.41</v>
      </c>
      <c r="M151" s="27">
        <f t="shared" si="123"/>
        <v>1482947874121858.2</v>
      </c>
      <c r="N151" s="26">
        <f t="shared" si="124"/>
        <v>8.8888888888888893</v>
      </c>
      <c r="O151" s="29">
        <v>1125</v>
      </c>
      <c r="P151" s="30"/>
      <c r="Q151" s="27">
        <f t="shared" si="125"/>
        <v>1865459296536.4075</v>
      </c>
      <c r="R151" s="27"/>
      <c r="S151" s="6"/>
    </row>
    <row r="152" spans="4:19" ht="15.75">
      <c r="D152" s="26">
        <f t="shared" si="118"/>
        <v>0.92223839605896363</v>
      </c>
      <c r="E152" s="26">
        <f t="shared" si="119"/>
        <v>-3.5156800518903464E-2</v>
      </c>
      <c r="F152" s="26">
        <f t="shared" si="120"/>
        <v>-2.3559423908822881</v>
      </c>
      <c r="G152" s="27">
        <f t="shared" si="121"/>
        <v>8.7151184862024594E-3</v>
      </c>
      <c r="H152" s="26">
        <f t="shared" si="126"/>
        <v>-0.29621568680955207</v>
      </c>
      <c r="I152" s="26">
        <f t="shared" si="122"/>
        <v>0.94672548918189381</v>
      </c>
      <c r="J152" s="31">
        <f t="shared" si="127"/>
        <v>0.7</v>
      </c>
      <c r="K152" s="27">
        <f>130.3*101325/8.314/O152/1000000</f>
        <v>1.3808711863697693E-3</v>
      </c>
      <c r="L152" s="28">
        <f t="shared" si="128"/>
        <v>228850241970753.34</v>
      </c>
      <c r="M152" s="27">
        <f t="shared" si="123"/>
        <v>1444346868888278.2</v>
      </c>
      <c r="N152" s="26">
        <f t="shared" si="124"/>
        <v>8.695652173913043</v>
      </c>
      <c r="O152" s="29">
        <v>1150</v>
      </c>
      <c r="P152" s="30"/>
      <c r="Q152" s="27">
        <f t="shared" si="125"/>
        <v>1823473017647.5347</v>
      </c>
      <c r="R152" s="27"/>
      <c r="S152" s="6"/>
    </row>
    <row r="153" spans="4:19" ht="15.75">
      <c r="D153" s="26">
        <f t="shared" si="118"/>
        <v>0.92202549352961383</v>
      </c>
      <c r="E153" s="26">
        <f t="shared" si="119"/>
        <v>-3.5257070761803691E-2</v>
      </c>
      <c r="F153" s="26">
        <f t="shared" si="120"/>
        <v>-2.3500972195827092</v>
      </c>
      <c r="G153" s="27">
        <f t="shared" si="121"/>
        <v>8.8332082058026409E-3</v>
      </c>
      <c r="H153" s="26">
        <f t="shared" si="126"/>
        <v>-0.29621568680955207</v>
      </c>
      <c r="I153" s="26">
        <f t="shared" si="122"/>
        <v>0.94672548918189381</v>
      </c>
      <c r="J153" s="31">
        <f t="shared" si="127"/>
        <v>0.7</v>
      </c>
      <c r="K153" s="27">
        <f>150.1*101325/8.314/O153/1000000</f>
        <v>1.5080873033516903E-3</v>
      </c>
      <c r="L153" s="28">
        <f t="shared" si="128"/>
        <v>231304439316995.47</v>
      </c>
      <c r="M153" s="27">
        <f t="shared" si="123"/>
        <v>1354802382377058.2</v>
      </c>
      <c r="N153" s="26">
        <f t="shared" si="124"/>
        <v>8.2440230832646328</v>
      </c>
      <c r="O153" s="29">
        <v>1213</v>
      </c>
      <c r="P153" s="30"/>
      <c r="Q153" s="27">
        <f t="shared" si="125"/>
        <v>1867351156055.3152</v>
      </c>
      <c r="R153" s="27"/>
      <c r="S153" s="6"/>
    </row>
    <row r="154" spans="4:19" ht="15.75">
      <c r="D154" s="26">
        <f t="shared" si="118"/>
        <v>0.92132329004928304</v>
      </c>
      <c r="E154" s="26">
        <f t="shared" si="119"/>
        <v>-3.5587950207027666E-2</v>
      </c>
      <c r="F154" s="26">
        <f t="shared" si="120"/>
        <v>-2.3310195250615995</v>
      </c>
      <c r="G154" s="27">
        <f t="shared" si="121"/>
        <v>9.2298822752495298E-3</v>
      </c>
      <c r="H154" s="26">
        <f t="shared" si="126"/>
        <v>-0.29621568680955207</v>
      </c>
      <c r="I154" s="26">
        <f t="shared" si="122"/>
        <v>0.94672548918189381</v>
      </c>
      <c r="J154" s="31">
        <f t="shared" si="127"/>
        <v>0.7</v>
      </c>
      <c r="K154" s="27">
        <f>150.1*101325/8.314/O154/1000000</f>
        <v>1.5359444995513016E-3</v>
      </c>
      <c r="L154" s="28">
        <f t="shared" si="128"/>
        <v>230459258483754.56</v>
      </c>
      <c r="M154" s="27">
        <f t="shared" si="123"/>
        <v>1384888468084461</v>
      </c>
      <c r="N154" s="26">
        <f t="shared" si="124"/>
        <v>8.3963056255247697</v>
      </c>
      <c r="O154" s="29">
        <v>1191</v>
      </c>
      <c r="P154" s="30"/>
      <c r="Q154" s="27">
        <f t="shared" si="125"/>
        <v>1941834758733.3477</v>
      </c>
      <c r="R154" s="27"/>
      <c r="S154" s="6"/>
    </row>
    <row r="155" spans="4:19" ht="15.75">
      <c r="D155" s="26">
        <f t="shared" si="118"/>
        <v>0.92102895356113557</v>
      </c>
      <c r="E155" s="26">
        <f t="shared" si="119"/>
        <v>-3.5726717062449759E-2</v>
      </c>
      <c r="F155" s="26">
        <f t="shared" si="120"/>
        <v>-2.3231132412115016</v>
      </c>
      <c r="G155" s="27">
        <f t="shared" si="121"/>
        <v>9.3994500776796285E-3</v>
      </c>
      <c r="H155" s="26">
        <f t="shared" si="126"/>
        <v>-0.29621568680955207</v>
      </c>
      <c r="I155" s="26">
        <f t="shared" si="122"/>
        <v>0.94672548918189381</v>
      </c>
      <c r="J155" s="31">
        <f t="shared" si="127"/>
        <v>0.7</v>
      </c>
      <c r="K155" s="27">
        <f>150.1*101325/8.314/O155/1000000</f>
        <v>1.547639508431134E-3</v>
      </c>
      <c r="L155" s="28">
        <f t="shared" si="128"/>
        <v>230109899739203.28</v>
      </c>
      <c r="M155" s="27">
        <f t="shared" si="123"/>
        <v>1397551886725273.2</v>
      </c>
      <c r="N155" s="26">
        <f t="shared" si="124"/>
        <v>8.4602368866328259</v>
      </c>
      <c r="O155" s="29">
        <v>1182</v>
      </c>
      <c r="P155" s="30"/>
      <c r="Q155" s="27">
        <f t="shared" si="125"/>
        <v>1973549246522.6838</v>
      </c>
      <c r="R155" s="27"/>
      <c r="S155" s="6"/>
    </row>
    <row r="156" spans="4:19" ht="15.75">
      <c r="D156" s="26">
        <f t="shared" si="118"/>
        <v>0.92356507413779343</v>
      </c>
      <c r="E156" s="26">
        <f t="shared" si="119"/>
        <v>-3.4532498877457268E-2</v>
      </c>
      <c r="F156" s="26">
        <f t="shared" si="120"/>
        <v>-2.3930242749742132</v>
      </c>
      <c r="G156" s="27">
        <f t="shared" si="121"/>
        <v>8.0018685328391518E-3</v>
      </c>
      <c r="H156" s="26">
        <f t="shared" si="126"/>
        <v>-0.29621568680955207</v>
      </c>
      <c r="I156" s="26">
        <f t="shared" si="122"/>
        <v>0.94672548918189381</v>
      </c>
      <c r="J156" s="31">
        <f t="shared" si="127"/>
        <v>0.7</v>
      </c>
      <c r="K156" s="27">
        <f>150.1*101325/8.314/O156/1000000</f>
        <v>1.4472388441183546E-3</v>
      </c>
      <c r="L156" s="28">
        <f t="shared" si="128"/>
        <v>233217546774108</v>
      </c>
      <c r="M156" s="27">
        <f t="shared" si="123"/>
        <v>1289473507722587.5</v>
      </c>
      <c r="N156" s="26">
        <f t="shared" si="124"/>
        <v>7.9113924050632916</v>
      </c>
      <c r="O156" s="29">
        <v>1264</v>
      </c>
      <c r="P156" s="30"/>
      <c r="Q156" s="27">
        <f t="shared" si="125"/>
        <v>1709853093590.0754</v>
      </c>
      <c r="R156" s="27"/>
      <c r="S156" s="6"/>
    </row>
    <row r="157" spans="4:19" ht="15.75">
      <c r="D157" s="26">
        <f t="shared" si="118"/>
        <v>0.92300529465829839</v>
      </c>
      <c r="E157" s="26">
        <f t="shared" si="119"/>
        <v>-3.4795807712671468E-2</v>
      </c>
      <c r="F157" s="26">
        <f t="shared" si="120"/>
        <v>-2.3772377409391456</v>
      </c>
      <c r="G157" s="27">
        <f t="shared" si="121"/>
        <v>8.2980862750931441E-3</v>
      </c>
      <c r="H157" s="26">
        <f t="shared" si="126"/>
        <v>-0.29621568680955207</v>
      </c>
      <c r="I157" s="26">
        <f t="shared" si="122"/>
        <v>0.94672548918189381</v>
      </c>
      <c r="J157" s="31">
        <f t="shared" si="127"/>
        <v>0.7</v>
      </c>
      <c r="K157" s="27">
        <f>150.1*101325/8.314/O157/1000000</f>
        <v>1.4693252200526908E-3</v>
      </c>
      <c r="L157" s="28">
        <f t="shared" si="128"/>
        <v>232512164000555.19</v>
      </c>
      <c r="M157" s="27">
        <f t="shared" si="123"/>
        <v>1313123854782826</v>
      </c>
      <c r="N157" s="26">
        <f t="shared" si="124"/>
        <v>8.0321285140562253</v>
      </c>
      <c r="O157" s="29">
        <v>1245</v>
      </c>
      <c r="P157" s="30"/>
      <c r="Q157" s="27">
        <f t="shared" si="125"/>
        <v>1766195904674.8164</v>
      </c>
      <c r="R157" s="27"/>
      <c r="S157" s="6"/>
    </row>
    <row r="158" spans="4:19" ht="15.75">
      <c r="D158" s="2">
        <f t="shared" si="118"/>
        <v>0.93443180777497126</v>
      </c>
      <c r="E158" s="2">
        <f>LOG(J158)/(1+(F158/(I158-0.14*F158))^2)</f>
        <v>-2.9452386727782484E-2</v>
      </c>
      <c r="F158" s="2">
        <f>LOG(G158)+H158</f>
        <v>-2.747831011479839</v>
      </c>
      <c r="G158" s="6">
        <f>M158*K158/L158</f>
        <v>3.5349613955081576E-3</v>
      </c>
      <c r="H158" s="2">
        <f>-0.4-0.67*LOG(J158)</f>
        <v>-0.29621568680955207</v>
      </c>
      <c r="I158" s="2">
        <f>0.75-1.27*LOG(J158)</f>
        <v>0.94672548918189381</v>
      </c>
      <c r="J158" s="4">
        <f t="shared" si="127"/>
        <v>0.7</v>
      </c>
      <c r="K158" s="6">
        <f>$P$146*101325/760/8.314/O158/1000000</f>
        <v>8.1248496511907627E-4</v>
      </c>
      <c r="L158" s="9">
        <f t="shared" si="128"/>
        <v>241340417502550.47</v>
      </c>
      <c r="M158" s="6">
        <f>$B$7*O158^$B$8*EXP(-$B$9/1.987/O158)</f>
        <v>1050024425894827.7</v>
      </c>
      <c r="N158" s="2">
        <f>10000/O158</f>
        <v>6.666666666666667</v>
      </c>
      <c r="O158" s="12">
        <v>1500</v>
      </c>
      <c r="P158" s="13"/>
      <c r="Q158" s="6">
        <f>L158/(1+L158/M158/K158)*D158</f>
        <v>794382816322.01025</v>
      </c>
    </row>
    <row r="159" spans="4:19" ht="15.75">
      <c r="D159" s="2">
        <f t="shared" si="118"/>
        <v>0.93913625063580553</v>
      </c>
      <c r="E159" s="2">
        <f>LOG(J159)/(1+(F159/(I159-0.14*F159))^2)</f>
        <v>-2.7271395373236418E-2</v>
      </c>
      <c r="F159" s="2">
        <f>LOG(G159)+H159</f>
        <v>-2.9378660019941392</v>
      </c>
      <c r="G159" s="6">
        <f>M159*K159/L159</f>
        <v>2.2821788950346273E-3</v>
      </c>
      <c r="H159" s="2">
        <f>-0.4-0.67*LOG(J159)</f>
        <v>-0.29621568680955207</v>
      </c>
      <c r="I159" s="2">
        <f>0.75-1.27*LOG(J159)</f>
        <v>0.94672548918189381</v>
      </c>
      <c r="J159" s="4">
        <f t="shared" si="127"/>
        <v>0.7</v>
      </c>
      <c r="K159" s="6">
        <f>$P$146*101325/760/8.314/O159/1000000</f>
        <v>6.7707080426589682E-4</v>
      </c>
      <c r="L159" s="9">
        <f t="shared" si="128"/>
        <v>250303146415970.06</v>
      </c>
      <c r="M159" s="6">
        <f>$B$7*O159^$B$8*EXP(-$B$9/1.987/O159)</f>
        <v>843688067056211.62</v>
      </c>
      <c r="N159" s="2">
        <f>10000/O159</f>
        <v>5.5555555555555554</v>
      </c>
      <c r="O159" s="12">
        <v>1800</v>
      </c>
      <c r="P159" s="13"/>
      <c r="Q159" s="6">
        <f>L159/(1+L159/M159/K159)*D159</f>
        <v>535247429024.59692</v>
      </c>
    </row>
    <row r="160" spans="4:19">
      <c r="D160" s="2" t="s">
        <v>4</v>
      </c>
      <c r="E160" s="2" t="s">
        <v>5</v>
      </c>
      <c r="F160" t="s">
        <v>6</v>
      </c>
      <c r="G160" t="s">
        <v>7</v>
      </c>
      <c r="H160" t="s">
        <v>8</v>
      </c>
      <c r="I160" t="s">
        <v>9</v>
      </c>
      <c r="J160" t="s">
        <v>10</v>
      </c>
      <c r="K160" t="s">
        <v>11</v>
      </c>
      <c r="L160" t="s">
        <v>12</v>
      </c>
      <c r="M160" t="s">
        <v>13</v>
      </c>
      <c r="N160" t="s">
        <v>14</v>
      </c>
      <c r="P160">
        <f>760*300</f>
        <v>228000</v>
      </c>
      <c r="Q160" t="s">
        <v>16</v>
      </c>
      <c r="R160" s="6"/>
    </row>
    <row r="161" spans="4:25" ht="15.75">
      <c r="D161" s="2">
        <f t="shared" ref="D161:D173" si="129">10^E161</f>
        <v>0.76505202441375331</v>
      </c>
      <c r="E161" s="2">
        <f t="shared" ref="E161:E171" si="130">LOG(J161)/(1+(F161/(I161-0.14*F161))^2)</f>
        <v>-0.11630903132011595</v>
      </c>
      <c r="F161" s="2">
        <f t="shared" ref="F161:F171" si="131">LOG(G161)+H161</f>
        <v>-0.59318174635373144</v>
      </c>
      <c r="G161" s="6">
        <f t="shared" ref="G161:G171" si="132">M161*K161/L161</f>
        <v>0.50470073878257637</v>
      </c>
      <c r="H161" s="2">
        <f>-0.4-0.67*LOG(J161)</f>
        <v>-0.29621568680955207</v>
      </c>
      <c r="I161" s="2">
        <f t="shared" ref="I161:I171" si="133">0.75-1.27*LOG(J161)</f>
        <v>0.94672548918189381</v>
      </c>
      <c r="J161" s="4">
        <f>(1-$B$10)*EXP(-O161/$B$11)+$B$10*EXP(-O161/$B$12)+EXP(-B$13/O161)</f>
        <v>0.7</v>
      </c>
      <c r="K161" s="6">
        <f>$P$160*101325/760/8.314/O161/1000000</f>
        <v>1.2187274476786143E-2</v>
      </c>
      <c r="L161" s="9">
        <f>B$4*O161^B$5*EXP(-B$6/1.987/O161)</f>
        <v>174918626629333.09</v>
      </c>
      <c r="M161" s="6">
        <f t="shared" ref="M161:M171" si="134">$B$7*O161^$B$8*EXP(-$B$9/1.987/O161)</f>
        <v>7243749228329386</v>
      </c>
      <c r="N161" s="2">
        <f t="shared" ref="N161:N171" si="135">10000/O161</f>
        <v>33.333333333333336</v>
      </c>
      <c r="O161" s="12">
        <v>300</v>
      </c>
      <c r="P161" s="13"/>
      <c r="Q161" s="6">
        <f t="shared" ref="Q161:Q171" si="136">L161/(1+L161/M161/K161)*D161</f>
        <v>44885992624252.586</v>
      </c>
      <c r="R161" s="6"/>
      <c r="S161" s="6"/>
    </row>
    <row r="162" spans="4:25" ht="15.75">
      <c r="D162" s="2">
        <f t="shared" si="129"/>
        <v>0.81016756134526191</v>
      </c>
      <c r="E162" s="2">
        <f t="shared" si="130"/>
        <v>-9.1425149711780979E-2</v>
      </c>
      <c r="F162" s="2">
        <f t="shared" si="131"/>
        <v>-0.89303471421365144</v>
      </c>
      <c r="G162" s="6">
        <f t="shared" si="132"/>
        <v>0.25303521866936574</v>
      </c>
      <c r="H162" s="2">
        <f t="shared" ref="H162:H171" si="137">-0.4-0.67*LOG(J162)</f>
        <v>-0.29621568680955207</v>
      </c>
      <c r="I162" s="2">
        <f t="shared" si="133"/>
        <v>0.94672548918189381</v>
      </c>
      <c r="J162" s="4">
        <f t="shared" ref="J162:J173" si="138">(1-$B$10)*EXP(-O162/$B$11)+$B$10*EXP(-O162/$B$12)+EXP(-B$13/O162)</f>
        <v>0.7</v>
      </c>
      <c r="K162" s="6">
        <f t="shared" ref="K162:K173" si="139">$P$160*101325/760/8.314/O162/1000000</f>
        <v>9.1404558575896074E-3</v>
      </c>
      <c r="L162" s="9">
        <f t="shared" ref="L162:L173" si="140">B$4*O162^B$5*EXP(-B$6/1.987/O162)</f>
        <v>185277979569305.25</v>
      </c>
      <c r="M162" s="6">
        <f t="shared" si="134"/>
        <v>5129049886063391</v>
      </c>
      <c r="N162" s="2">
        <f t="shared" si="135"/>
        <v>25</v>
      </c>
      <c r="O162" s="12">
        <v>400</v>
      </c>
      <c r="P162" s="13"/>
      <c r="Q162" s="6">
        <f t="shared" si="136"/>
        <v>30312122773030.145</v>
      </c>
      <c r="R162" s="6"/>
      <c r="S162" s="6"/>
    </row>
    <row r="163" spans="4:25" ht="15.75">
      <c r="D163" s="2">
        <f t="shared" si="129"/>
        <v>0.83951594335260682</v>
      </c>
      <c r="E163" s="2">
        <f t="shared" si="130"/>
        <v>-7.5971051706621565E-2</v>
      </c>
      <c r="F163" s="2">
        <f t="shared" si="131"/>
        <v>-1.1256187454329869</v>
      </c>
      <c r="G163" s="6">
        <f t="shared" si="132"/>
        <v>0.14811428328068696</v>
      </c>
      <c r="H163" s="2">
        <f t="shared" si="137"/>
        <v>-0.29621568680955207</v>
      </c>
      <c r="I163" s="2">
        <f t="shared" si="133"/>
        <v>0.94672548918189381</v>
      </c>
      <c r="J163" s="4">
        <f t="shared" si="138"/>
        <v>0.7</v>
      </c>
      <c r="K163" s="6">
        <f t="shared" si="139"/>
        <v>7.3123646860716865E-3</v>
      </c>
      <c r="L163" s="9">
        <f t="shared" si="140"/>
        <v>193733983661863.44</v>
      </c>
      <c r="M163" s="6">
        <f t="shared" si="134"/>
        <v>3924143744067624</v>
      </c>
      <c r="N163" s="2">
        <f t="shared" si="135"/>
        <v>20</v>
      </c>
      <c r="O163" s="12">
        <v>500</v>
      </c>
      <c r="P163" s="13"/>
      <c r="Q163" s="6">
        <f t="shared" si="136"/>
        <v>20981985305655.547</v>
      </c>
      <c r="R163" s="6"/>
      <c r="S163" s="6"/>
    </row>
    <row r="164" spans="4:25" ht="15.75">
      <c r="D164" s="2">
        <f t="shared" si="129"/>
        <v>0.85936787546519222</v>
      </c>
      <c r="E164" s="2">
        <f t="shared" si="130"/>
        <v>-6.5820884965546195E-2</v>
      </c>
      <c r="F164" s="2">
        <f t="shared" si="131"/>
        <v>-1.3156537359472864</v>
      </c>
      <c r="G164" s="6">
        <f t="shared" si="132"/>
        <v>9.5622908862848452E-2</v>
      </c>
      <c r="H164" s="2">
        <f t="shared" si="137"/>
        <v>-0.29621568680955207</v>
      </c>
      <c r="I164" s="2">
        <f t="shared" si="133"/>
        <v>0.94672548918189381</v>
      </c>
      <c r="J164" s="4">
        <f t="shared" si="138"/>
        <v>0.7</v>
      </c>
      <c r="K164" s="6">
        <f t="shared" si="139"/>
        <v>6.0936372383930716E-3</v>
      </c>
      <c r="L164" s="9">
        <f t="shared" si="140"/>
        <v>200928738667455.53</v>
      </c>
      <c r="M164" s="6">
        <f t="shared" si="134"/>
        <v>3153024985549005</v>
      </c>
      <c r="N164" s="2">
        <f t="shared" si="135"/>
        <v>16.666666666666668</v>
      </c>
      <c r="O164" s="12">
        <v>600</v>
      </c>
      <c r="P164" s="13"/>
      <c r="Q164" s="6">
        <f t="shared" si="136"/>
        <v>15070304218062.389</v>
      </c>
      <c r="R164" s="6"/>
      <c r="S164" s="6"/>
    </row>
    <row r="165" spans="4:25" ht="15.75">
      <c r="D165" s="2">
        <f t="shared" si="129"/>
        <v>0.87354935328650463</v>
      </c>
      <c r="E165" s="2">
        <f t="shared" si="130"/>
        <v>-5.8712553469255857E-2</v>
      </c>
      <c r="F165" s="2">
        <f t="shared" si="131"/>
        <v>-1.476326031060758</v>
      </c>
      <c r="G165" s="6">
        <f t="shared" si="132"/>
        <v>6.605256023037287E-2</v>
      </c>
      <c r="H165" s="2">
        <f t="shared" si="137"/>
        <v>-0.29621568680955207</v>
      </c>
      <c r="I165" s="2">
        <f t="shared" si="133"/>
        <v>0.94672548918189381</v>
      </c>
      <c r="J165" s="4">
        <f t="shared" si="138"/>
        <v>0.7</v>
      </c>
      <c r="K165" s="6">
        <f t="shared" si="139"/>
        <v>5.2231176329083475E-3</v>
      </c>
      <c r="L165" s="9">
        <f t="shared" si="140"/>
        <v>207219879055280.06</v>
      </c>
      <c r="M165" s="6">
        <f t="shared" si="134"/>
        <v>2620542845137496.5</v>
      </c>
      <c r="N165" s="2">
        <f t="shared" si="135"/>
        <v>14.285714285714286</v>
      </c>
      <c r="O165" s="12">
        <v>700</v>
      </c>
      <c r="P165" s="13"/>
      <c r="Q165" s="6">
        <f t="shared" si="136"/>
        <v>11215790814199.771</v>
      </c>
      <c r="R165" s="6"/>
    </row>
    <row r="166" spans="4:25" ht="15.75">
      <c r="D166" s="2">
        <f t="shared" si="129"/>
        <v>0.88416375215385812</v>
      </c>
      <c r="E166" s="2">
        <f t="shared" si="130"/>
        <v>-5.346729373035547E-2</v>
      </c>
      <c r="F166" s="2">
        <f t="shared" si="131"/>
        <v>-1.615506703807206</v>
      </c>
      <c r="G166" s="6">
        <f t="shared" si="132"/>
        <v>4.7941209105967386E-2</v>
      </c>
      <c r="H166" s="2">
        <f t="shared" si="137"/>
        <v>-0.29621568680955207</v>
      </c>
      <c r="I166" s="2">
        <f t="shared" si="133"/>
        <v>0.94672548918189381</v>
      </c>
      <c r="J166" s="4">
        <f t="shared" si="138"/>
        <v>0.7</v>
      </c>
      <c r="K166" s="6">
        <f t="shared" si="139"/>
        <v>4.5702279287948037E-3</v>
      </c>
      <c r="L166" s="9">
        <f t="shared" si="140"/>
        <v>212828510348435.22</v>
      </c>
      <c r="M166" s="6">
        <f t="shared" si="134"/>
        <v>2232548633743205</v>
      </c>
      <c r="N166" s="2">
        <f t="shared" si="135"/>
        <v>12.5</v>
      </c>
      <c r="O166" s="12">
        <v>800</v>
      </c>
      <c r="P166" s="13"/>
      <c r="Q166" s="6">
        <f t="shared" si="136"/>
        <v>8608640575803.123</v>
      </c>
      <c r="R166" s="6"/>
    </row>
    <row r="167" spans="4:25" ht="15.75">
      <c r="D167" s="2">
        <f t="shared" si="129"/>
        <v>0.89241100981321919</v>
      </c>
      <c r="E167" s="2">
        <f t="shared" si="130"/>
        <v>-4.943508039667964E-2</v>
      </c>
      <c r="F167" s="2">
        <f t="shared" si="131"/>
        <v>-1.7382727576809216</v>
      </c>
      <c r="G167" s="6">
        <f t="shared" si="132"/>
        <v>3.6136237269565614E-2</v>
      </c>
      <c r="H167" s="2">
        <f t="shared" si="137"/>
        <v>-0.29621568680955207</v>
      </c>
      <c r="I167" s="2">
        <f t="shared" si="133"/>
        <v>0.94672548918189381</v>
      </c>
      <c r="J167" s="4">
        <f t="shared" si="138"/>
        <v>0.7</v>
      </c>
      <c r="K167" s="6">
        <f t="shared" si="139"/>
        <v>4.0624248255953814E-3</v>
      </c>
      <c r="L167" s="9">
        <f t="shared" si="140"/>
        <v>217901545107214.97</v>
      </c>
      <c r="M167" s="6">
        <f t="shared" si="134"/>
        <v>1938286189516197.2</v>
      </c>
      <c r="N167" s="2">
        <f t="shared" si="135"/>
        <v>11.111111111111111</v>
      </c>
      <c r="O167" s="12">
        <v>900</v>
      </c>
      <c r="P167" s="13"/>
      <c r="Q167" s="6">
        <f t="shared" si="136"/>
        <v>6781898656975.6611</v>
      </c>
      <c r="R167" s="6"/>
    </row>
    <row r="168" spans="4:25" ht="15.75">
      <c r="D168" s="2">
        <f t="shared" si="129"/>
        <v>0.89901340291259246</v>
      </c>
      <c r="E168" s="2">
        <f t="shared" si="130"/>
        <v>-4.6233833553100005E-2</v>
      </c>
      <c r="F168" s="2">
        <f t="shared" si="131"/>
        <v>-1.8480907350265416</v>
      </c>
      <c r="G168" s="6">
        <f t="shared" si="132"/>
        <v>2.8062409113168912E-2</v>
      </c>
      <c r="H168" s="2">
        <f t="shared" si="137"/>
        <v>-0.29621568680955207</v>
      </c>
      <c r="I168" s="2">
        <f t="shared" si="133"/>
        <v>0.94672548918189381</v>
      </c>
      <c r="J168" s="4">
        <f t="shared" si="138"/>
        <v>0.7</v>
      </c>
      <c r="K168" s="6">
        <f t="shared" si="139"/>
        <v>3.6561823430358432E-3</v>
      </c>
      <c r="L168" s="9">
        <f t="shared" si="140"/>
        <v>222541908339404.97</v>
      </c>
      <c r="M168" s="6">
        <f t="shared" si="134"/>
        <v>1708082773426515.5</v>
      </c>
      <c r="N168" s="2">
        <f t="shared" si="135"/>
        <v>10</v>
      </c>
      <c r="O168" s="12">
        <v>1000</v>
      </c>
      <c r="P168" s="13"/>
      <c r="Q168" s="6">
        <f t="shared" si="136"/>
        <v>5461141715869.9131</v>
      </c>
    </row>
    <row r="169" spans="4:25" ht="15.75">
      <c r="D169" s="2">
        <f t="shared" si="129"/>
        <v>0.9044281396803745</v>
      </c>
      <c r="E169" s="2">
        <f t="shared" si="130"/>
        <v>-4.3625933812534524E-2</v>
      </c>
      <c r="F169" s="2">
        <f t="shared" si="131"/>
        <v>-1.9474331794062818</v>
      </c>
      <c r="G169" s="6">
        <f t="shared" si="132"/>
        <v>2.2324539405963326E-2</v>
      </c>
      <c r="H169" s="2">
        <f t="shared" si="137"/>
        <v>-0.29621568680955207</v>
      </c>
      <c r="I169" s="2">
        <f t="shared" si="133"/>
        <v>0.94672548918189381</v>
      </c>
      <c r="J169" s="4">
        <f t="shared" si="138"/>
        <v>0.7</v>
      </c>
      <c r="K169" s="6">
        <f t="shared" si="139"/>
        <v>3.3238021300325848E-3</v>
      </c>
      <c r="L169" s="9">
        <f t="shared" si="140"/>
        <v>226824699879569.84</v>
      </c>
      <c r="M169" s="6">
        <f t="shared" si="134"/>
        <v>1523483273854698.2</v>
      </c>
      <c r="N169" s="2">
        <f t="shared" si="135"/>
        <v>9.0909090909090917</v>
      </c>
      <c r="O169" s="12">
        <v>1100</v>
      </c>
      <c r="P169" s="13"/>
      <c r="Q169" s="6">
        <f t="shared" si="136"/>
        <v>4479794920488.6504</v>
      </c>
    </row>
    <row r="170" spans="4:25" ht="15.75">
      <c r="D170" s="2">
        <f t="shared" si="129"/>
        <v>0.90895756612271872</v>
      </c>
      <c r="E170" s="2">
        <f t="shared" si="130"/>
        <v>-4.145639095724972E-2</v>
      </c>
      <c r="F170" s="2">
        <f t="shared" si="131"/>
        <v>-2.038125725540842</v>
      </c>
      <c r="G170" s="6">
        <f t="shared" si="132"/>
        <v>1.8117153387666653E-2</v>
      </c>
      <c r="H170" s="2">
        <f t="shared" si="137"/>
        <v>-0.29621568680955207</v>
      </c>
      <c r="I170" s="2">
        <f t="shared" si="133"/>
        <v>0.94672548918189381</v>
      </c>
      <c r="J170" s="4">
        <f t="shared" si="138"/>
        <v>0.7</v>
      </c>
      <c r="K170" s="6">
        <f t="shared" si="139"/>
        <v>3.0468186191965358E-3</v>
      </c>
      <c r="L170" s="9">
        <f t="shared" si="140"/>
        <v>230806511578935.31</v>
      </c>
      <c r="M170" s="6">
        <f t="shared" si="134"/>
        <v>1372433838628218.7</v>
      </c>
      <c r="N170" s="2">
        <f t="shared" si="135"/>
        <v>8.3333333333333339</v>
      </c>
      <c r="O170" s="12">
        <v>1200</v>
      </c>
      <c r="P170" s="13"/>
      <c r="Q170" s="6">
        <f t="shared" si="136"/>
        <v>3733222484533.3584</v>
      </c>
    </row>
    <row r="171" spans="4:25" ht="15.75">
      <c r="D171" s="2">
        <f t="shared" si="129"/>
        <v>0.91280921195347031</v>
      </c>
      <c r="E171" s="2">
        <f t="shared" si="130"/>
        <v>-3.9619985723526749E-2</v>
      </c>
      <c r="F171" s="2">
        <f t="shared" si="131"/>
        <v>-2.12155478056295</v>
      </c>
      <c r="G171" s="6">
        <f t="shared" si="132"/>
        <v>1.4950678628935742E-2</v>
      </c>
      <c r="H171" s="2">
        <f t="shared" si="137"/>
        <v>-0.29621568680955207</v>
      </c>
      <c r="I171" s="2">
        <f t="shared" si="133"/>
        <v>0.94672548918189381</v>
      </c>
      <c r="J171" s="4">
        <f t="shared" si="138"/>
        <v>0.7</v>
      </c>
      <c r="K171" s="6">
        <f t="shared" si="139"/>
        <v>2.8124479561814179E-3</v>
      </c>
      <c r="L171" s="9">
        <f t="shared" si="140"/>
        <v>234531120441019.87</v>
      </c>
      <c r="M171" s="6">
        <f t="shared" si="134"/>
        <v>1246742860606992.5</v>
      </c>
      <c r="N171" s="2">
        <f t="shared" si="135"/>
        <v>7.6923076923076925</v>
      </c>
      <c r="O171" s="12">
        <v>1300</v>
      </c>
      <c r="P171" s="13"/>
      <c r="Q171" s="6">
        <f t="shared" si="136"/>
        <v>3153526323801.8179</v>
      </c>
    </row>
    <row r="172" spans="4:25" ht="15.75">
      <c r="D172" s="2">
        <f t="shared" si="129"/>
        <v>0.91902736540533847</v>
      </c>
      <c r="E172" s="2">
        <f>LOG(J172)/(1+(F172/(I172-0.14*F172))^2)</f>
        <v>-3.6671556657860094E-2</v>
      </c>
      <c r="F172" s="2">
        <f>LOG(G172)+H172</f>
        <v>-2.2707097567601768</v>
      </c>
      <c r="G172" s="6">
        <f>M172*K172/L172</f>
        <v>1.0604884186524473E-2</v>
      </c>
      <c r="H172" s="2">
        <f>-0.4-0.67*LOG(J172)</f>
        <v>-0.29621568680955207</v>
      </c>
      <c r="I172" s="2">
        <f>0.75-1.27*LOG(J172)</f>
        <v>0.94672548918189381</v>
      </c>
      <c r="J172" s="4">
        <f t="shared" si="138"/>
        <v>0.7</v>
      </c>
      <c r="K172" s="6">
        <f t="shared" si="139"/>
        <v>2.4374548953572288E-3</v>
      </c>
      <c r="L172" s="9">
        <f t="shared" si="140"/>
        <v>241340417502550.47</v>
      </c>
      <c r="M172" s="6">
        <f>$B$7*O172^$B$8*EXP(-$B$9/1.987/O172)</f>
        <v>1050024425894827.7</v>
      </c>
      <c r="N172" s="2">
        <f>10000/O172</f>
        <v>6.666666666666667</v>
      </c>
      <c r="O172" s="12">
        <v>1500</v>
      </c>
      <c r="P172" s="13"/>
      <c r="Q172" s="6">
        <f>L172/(1+L172/M172/K172)*D172</f>
        <v>2327464364428.0078</v>
      </c>
    </row>
    <row r="173" spans="4:25" ht="15.75">
      <c r="D173" s="2">
        <f t="shared" si="129"/>
        <v>0.92588512291627445</v>
      </c>
      <c r="E173" s="2">
        <f>LOG(J173)/(1+(F173/(I173-0.14*F173))^2)</f>
        <v>-3.3442894072336873E-2</v>
      </c>
      <c r="F173" s="2">
        <f>LOG(G173)+H173</f>
        <v>-2.4607447472744766</v>
      </c>
      <c r="G173" s="6">
        <f>M173*K173/L173</f>
        <v>6.8465366851038828E-3</v>
      </c>
      <c r="H173" s="2">
        <f>-0.4-0.67*LOG(J173)</f>
        <v>-0.29621568680955207</v>
      </c>
      <c r="I173" s="2">
        <f>0.75-1.27*LOG(J173)</f>
        <v>0.94672548918189381</v>
      </c>
      <c r="J173" s="4">
        <f t="shared" si="138"/>
        <v>0.7</v>
      </c>
      <c r="K173" s="6">
        <f t="shared" si="139"/>
        <v>2.0312124127976907E-3</v>
      </c>
      <c r="L173" s="9">
        <f t="shared" si="140"/>
        <v>250303146415970.06</v>
      </c>
      <c r="M173" s="6">
        <f>$B$7*O173^$B$8*EXP(-$B$9/1.987/O173)</f>
        <v>843688067056211.62</v>
      </c>
      <c r="N173" s="2">
        <f>10000/O173</f>
        <v>5.5555555555555554</v>
      </c>
      <c r="O173" s="12">
        <v>1800</v>
      </c>
      <c r="P173" s="13"/>
      <c r="Q173" s="6">
        <f>L173/(1+L173/M173/K173)*D173</f>
        <v>1575908775221.4907</v>
      </c>
    </row>
    <row r="174" spans="4:25">
      <c r="D174" s="2" t="s">
        <v>4</v>
      </c>
      <c r="E174" s="2" t="s">
        <v>5</v>
      </c>
      <c r="F174" t="s">
        <v>6</v>
      </c>
      <c r="G174" t="s">
        <v>7</v>
      </c>
      <c r="H174" t="s">
        <v>8</v>
      </c>
      <c r="I174" t="s">
        <v>9</v>
      </c>
      <c r="J174" t="s">
        <v>10</v>
      </c>
      <c r="K174" t="s">
        <v>11</v>
      </c>
      <c r="L174" t="s">
        <v>12</v>
      </c>
      <c r="M174" t="s">
        <v>13</v>
      </c>
      <c r="N174" t="s">
        <v>14</v>
      </c>
      <c r="P174">
        <f>760*900</f>
        <v>684000</v>
      </c>
      <c r="Q174" t="s">
        <v>16</v>
      </c>
      <c r="R174" s="6"/>
    </row>
    <row r="175" spans="4:25" ht="15.75">
      <c r="D175" s="2">
        <f t="shared" ref="D175:D187" si="141">10^E175</f>
        <v>0.93892455469063907</v>
      </c>
      <c r="E175" s="2">
        <f t="shared" ref="E175:E185" si="142">LOG(J175)/(1+(F175/(I175-0.14*F175))^2)</f>
        <v>-2.7369303152319665E-2</v>
      </c>
      <c r="F175" s="2">
        <f t="shared" ref="F175:F185" si="143">LOG(G175)+H175</f>
        <v>-2.9287163571303751</v>
      </c>
      <c r="G175" s="6">
        <f t="shared" ref="G175:G185" si="144">M175*K175/L175</f>
        <v>2.3307695178053215E-3</v>
      </c>
      <c r="H175" s="2">
        <f>-0.4-0.67*LOG(J175)</f>
        <v>-0.29621568680955207</v>
      </c>
      <c r="I175" s="2">
        <f t="shared" ref="I175:I185" si="145">0.75-1.27*LOG(J175)</f>
        <v>0.94672548918189381</v>
      </c>
      <c r="J175" s="4">
        <f>(1-$B$10)*EXP(-O175/$B$11)+$B$10*EXP(-O175/$B$12)+EXP(-B$13/O175)</f>
        <v>0.7</v>
      </c>
      <c r="K175" s="6">
        <v>3.1712283466417109E-4</v>
      </c>
      <c r="L175" s="9">
        <f>B$4*O175^B$5*EXP(-B$6/1.987/O175)</f>
        <v>232661377769497.12</v>
      </c>
      <c r="M175" s="6">
        <v>1710000000000000</v>
      </c>
      <c r="N175" s="2">
        <f t="shared" ref="N175:N185" si="146">10000/O175</f>
        <v>8.0064051240992793</v>
      </c>
      <c r="O175" s="33">
        <v>1249</v>
      </c>
      <c r="P175" s="13"/>
      <c r="Q175" s="6">
        <f t="shared" ref="Q175:Q185" si="147">L175/(1+L175/M175/K175)*D175</f>
        <v>507976076750.52142</v>
      </c>
      <c r="R175" s="6"/>
      <c r="S175" s="6"/>
      <c r="W175" s="33"/>
      <c r="Y175" s="6"/>
    </row>
    <row r="176" spans="4:25" ht="15.75">
      <c r="D176" s="2">
        <f t="shared" si="141"/>
        <v>0.93880913692712553</v>
      </c>
      <c r="E176" s="2">
        <f t="shared" si="142"/>
        <v>-2.7422692297004583E-2</v>
      </c>
      <c r="F176" s="2">
        <f t="shared" si="143"/>
        <v>-2.9237534675329617</v>
      </c>
      <c r="G176" s="6">
        <f t="shared" si="144"/>
        <v>2.3575570952965646E-3</v>
      </c>
      <c r="H176" s="2">
        <f t="shared" ref="H176:H185" si="148">-0.4-0.67*LOG(J176)</f>
        <v>-0.29621568680955207</v>
      </c>
      <c r="I176" s="2">
        <f t="shared" si="145"/>
        <v>0.94672548918189381</v>
      </c>
      <c r="J176" s="4">
        <f t="shared" ref="J176:J187" si="149">(1-$B$10)*EXP(-O176/$B$11)+$B$10*EXP(-O176/$B$12)+EXP(-B$13/O176)</f>
        <v>0.7</v>
      </c>
      <c r="K176" s="6">
        <v>3.1844168794183152E-4</v>
      </c>
      <c r="L176" s="9">
        <f t="shared" ref="L176:L187" si="150">B$4*O176^B$5*EXP(-B$6/1.987/O176)</f>
        <v>232325106506508.94</v>
      </c>
      <c r="M176" s="6">
        <v>1720000000000000</v>
      </c>
      <c r="N176" s="2">
        <f t="shared" si="146"/>
        <v>8.064516129032258</v>
      </c>
      <c r="O176" s="33">
        <v>1240</v>
      </c>
      <c r="P176" s="13"/>
      <c r="Q176" s="6">
        <f t="shared" si="147"/>
        <v>512994847253.46222</v>
      </c>
      <c r="R176" s="6"/>
      <c r="S176" s="6"/>
      <c r="W176" s="33"/>
      <c r="Y176" s="6"/>
    </row>
    <row r="177" spans="4:27" ht="15.75">
      <c r="D177" s="2">
        <f t="shared" si="141"/>
        <v>0.93957091129758563</v>
      </c>
      <c r="E177" s="2">
        <f t="shared" si="142"/>
        <v>-2.7070437252562116E-2</v>
      </c>
      <c r="F177" s="2">
        <f t="shared" si="143"/>
        <v>-2.9568449749849628</v>
      </c>
      <c r="G177" s="6">
        <f t="shared" si="144"/>
        <v>2.1845938757419528E-3</v>
      </c>
      <c r="H177" s="2">
        <f t="shared" si="148"/>
        <v>-0.29621568680955207</v>
      </c>
      <c r="I177" s="2">
        <f t="shared" si="145"/>
        <v>0.94672548918189381</v>
      </c>
      <c r="J177" s="4">
        <f t="shared" si="149"/>
        <v>0.7</v>
      </c>
      <c r="K177" s="6">
        <v>3.0104024604013583E-4</v>
      </c>
      <c r="L177" s="9">
        <f t="shared" si="150"/>
        <v>232884483224617.78</v>
      </c>
      <c r="M177" s="6">
        <v>1690000000000000</v>
      </c>
      <c r="N177" s="2">
        <f t="shared" si="146"/>
        <v>7.9681274900398407</v>
      </c>
      <c r="O177" s="33">
        <v>1255</v>
      </c>
      <c r="P177" s="13"/>
      <c r="Q177" s="6">
        <f t="shared" si="147"/>
        <v>476972241903.95166</v>
      </c>
      <c r="R177" s="6"/>
      <c r="S177" s="6"/>
      <c r="W177" s="33"/>
      <c r="X177" s="34"/>
      <c r="Y177" s="6"/>
      <c r="Z177" s="27"/>
      <c r="AA177" s="27"/>
    </row>
    <row r="178" spans="4:27" ht="15.75">
      <c r="D178" s="2">
        <f t="shared" si="141"/>
        <v>0.93977479025992572</v>
      </c>
      <c r="E178" s="2">
        <f t="shared" si="142"/>
        <v>-2.6976209236296213E-2</v>
      </c>
      <c r="F178" s="2">
        <f t="shared" si="143"/>
        <v>-2.9658377265048808</v>
      </c>
      <c r="G178" s="6">
        <f t="shared" si="144"/>
        <v>2.1398235373494496E-3</v>
      </c>
      <c r="H178" s="2">
        <f t="shared" si="148"/>
        <v>-0.29621568680955207</v>
      </c>
      <c r="I178" s="2">
        <f t="shared" si="145"/>
        <v>0.94672548918189381</v>
      </c>
      <c r="J178" s="4">
        <f t="shared" si="149"/>
        <v>0.7</v>
      </c>
      <c r="K178" s="6">
        <v>3.0419900635401232E-4</v>
      </c>
      <c r="L178" s="9">
        <f t="shared" si="150"/>
        <v>233143696997809.16</v>
      </c>
      <c r="M178" s="6">
        <v>1640000000000000</v>
      </c>
      <c r="N178" s="2">
        <f t="shared" si="146"/>
        <v>7.9239302694136295</v>
      </c>
      <c r="O178" s="33">
        <v>1262</v>
      </c>
      <c r="P178" s="13"/>
      <c r="Q178" s="6">
        <f t="shared" si="147"/>
        <v>467839739638.94946</v>
      </c>
      <c r="R178" s="6"/>
      <c r="S178" s="6"/>
      <c r="W178" s="33"/>
      <c r="X178" s="34"/>
      <c r="Y178" s="6"/>
      <c r="Z178" s="27"/>
      <c r="AA178" s="27"/>
    </row>
    <row r="179" spans="4:27" ht="15.75">
      <c r="D179" s="2">
        <f t="shared" si="141"/>
        <v>0.9440700545225732</v>
      </c>
      <c r="E179" s="2">
        <f t="shared" si="142"/>
        <v>-2.499577777423629E-2</v>
      </c>
      <c r="F179" s="2">
        <f t="shared" si="143"/>
        <v>-3.1700136612819652</v>
      </c>
      <c r="G179" s="6">
        <f t="shared" si="144"/>
        <v>1.337217419980562E-3</v>
      </c>
      <c r="H179" s="2">
        <f t="shared" si="148"/>
        <v>-0.29621568680955207</v>
      </c>
      <c r="I179" s="2">
        <f t="shared" si="145"/>
        <v>0.94672548918189381</v>
      </c>
      <c r="J179" s="4">
        <f t="shared" si="149"/>
        <v>0.7</v>
      </c>
      <c r="K179" s="6">
        <v>1.7292754325169528E-4</v>
      </c>
      <c r="L179" s="9">
        <f t="shared" si="150"/>
        <v>230187718458298.25</v>
      </c>
      <c r="M179" s="6">
        <v>1780000000000000</v>
      </c>
      <c r="N179" s="2">
        <f t="shared" si="146"/>
        <v>8.4459459459459456</v>
      </c>
      <c r="O179" s="33">
        <v>1184</v>
      </c>
      <c r="P179" s="13"/>
      <c r="Q179" s="6">
        <f t="shared" si="147"/>
        <v>290207103037.64294</v>
      </c>
      <c r="R179" s="6"/>
      <c r="S179" s="6"/>
      <c r="W179" s="33"/>
      <c r="X179" s="34"/>
      <c r="Y179" s="6"/>
      <c r="Z179" s="27"/>
      <c r="AA179" s="27"/>
    </row>
    <row r="180" spans="4:27" ht="15.75">
      <c r="D180" s="2">
        <f t="shared" si="141"/>
        <v>0.94421814101144863</v>
      </c>
      <c r="E180" s="2">
        <f t="shared" si="142"/>
        <v>-2.492765984049404E-2</v>
      </c>
      <c r="F180" s="2">
        <f t="shared" si="143"/>
        <v>-3.1775989456074876</v>
      </c>
      <c r="G180" s="6">
        <f t="shared" si="144"/>
        <v>1.3140646766834894E-3</v>
      </c>
      <c r="H180" s="2">
        <f t="shared" si="148"/>
        <v>-0.29621568680955207</v>
      </c>
      <c r="I180" s="2">
        <f t="shared" si="145"/>
        <v>0.94672548918189381</v>
      </c>
      <c r="J180" s="4">
        <f t="shared" si="149"/>
        <v>0.7</v>
      </c>
      <c r="K180" s="6">
        <v>1.722114871719781E-4</v>
      </c>
      <c r="L180" s="9">
        <f t="shared" si="150"/>
        <v>230652434998589.81</v>
      </c>
      <c r="M180" s="6">
        <v>1760000000000000</v>
      </c>
      <c r="N180" s="2">
        <f t="shared" si="146"/>
        <v>8.3612040133779271</v>
      </c>
      <c r="O180" s="33">
        <v>1196</v>
      </c>
      <c r="P180" s="13"/>
      <c r="Q180" s="6">
        <f t="shared" si="147"/>
        <v>285809597793.16504</v>
      </c>
      <c r="R180" s="6"/>
      <c r="W180" s="33"/>
      <c r="X180" s="34"/>
      <c r="Y180" s="6"/>
      <c r="Z180" s="27"/>
      <c r="AA180" s="27"/>
    </row>
    <row r="181" spans="4:27" ht="15.75">
      <c r="D181" s="2">
        <f t="shared" si="141"/>
        <v>0.94484077910377917</v>
      </c>
      <c r="E181" s="2">
        <f t="shared" si="142"/>
        <v>-2.4641370943271446E-2</v>
      </c>
      <c r="F181" s="2">
        <f t="shared" si="143"/>
        <v>-3.2099292535950328</v>
      </c>
      <c r="G181" s="6">
        <f t="shared" si="144"/>
        <v>1.2197938326667316E-3</v>
      </c>
      <c r="H181" s="2">
        <f t="shared" si="148"/>
        <v>-0.29621568680955207</v>
      </c>
      <c r="I181" s="2">
        <f t="shared" si="145"/>
        <v>0.94672548918189381</v>
      </c>
      <c r="J181" s="4">
        <f t="shared" si="149"/>
        <v>0.7</v>
      </c>
      <c r="K181" s="6">
        <v>1.699380681994107E-4</v>
      </c>
      <c r="L181" s="9">
        <f t="shared" si="150"/>
        <v>231266289151746.78</v>
      </c>
      <c r="M181" s="6">
        <v>1660000000000000</v>
      </c>
      <c r="N181" s="2">
        <f t="shared" si="146"/>
        <v>8.2508250825082516</v>
      </c>
      <c r="O181" s="33">
        <v>1212</v>
      </c>
      <c r="P181" s="13"/>
      <c r="Q181" s="6">
        <f t="shared" si="147"/>
        <v>266212207807.22729</v>
      </c>
      <c r="R181" s="6"/>
      <c r="W181" s="33"/>
      <c r="X181" s="34"/>
      <c r="Y181" s="6"/>
      <c r="Z181" s="27"/>
      <c r="AA181" s="27"/>
    </row>
    <row r="182" spans="4:27" ht="15.75">
      <c r="D182" s="2">
        <f t="shared" si="141"/>
        <v>0.94426485917384684</v>
      </c>
      <c r="E182" s="2">
        <f t="shared" si="142"/>
        <v>-2.4906172286582935E-2</v>
      </c>
      <c r="F182" s="2">
        <f t="shared" si="143"/>
        <v>-3.1800001483744373</v>
      </c>
      <c r="G182" s="6">
        <f t="shared" si="144"/>
        <v>1.306819295867994E-3</v>
      </c>
      <c r="H182" s="2">
        <f t="shared" si="148"/>
        <v>-0.29621568680955207</v>
      </c>
      <c r="I182" s="2">
        <f t="shared" si="145"/>
        <v>0.94672548918189381</v>
      </c>
      <c r="J182" s="4">
        <f t="shared" si="149"/>
        <v>0.7</v>
      </c>
      <c r="K182" s="6">
        <v>1.7730650158535023E-4</v>
      </c>
      <c r="L182" s="9">
        <f t="shared" si="150"/>
        <v>230652434998589.81</v>
      </c>
      <c r="M182" s="6">
        <v>1700000000000000</v>
      </c>
      <c r="N182" s="2">
        <f t="shared" si="146"/>
        <v>8.3612040133779271</v>
      </c>
      <c r="O182" s="33">
        <v>1196</v>
      </c>
      <c r="P182" s="13"/>
      <c r="Q182" s="6">
        <f t="shared" si="147"/>
        <v>284249844693.27423</v>
      </c>
      <c r="W182" s="33"/>
      <c r="X182" s="34"/>
      <c r="Y182" s="6"/>
      <c r="Z182" s="27"/>
      <c r="AA182" s="27"/>
    </row>
    <row r="183" spans="4:27" ht="15.75">
      <c r="D183" s="2">
        <f t="shared" si="141"/>
        <v>0.94503696454304686</v>
      </c>
      <c r="E183" s="2">
        <f t="shared" si="142"/>
        <v>-2.4551203995386892E-2</v>
      </c>
      <c r="F183" s="2">
        <f t="shared" si="143"/>
        <v>-3.2202653778841221</v>
      </c>
      <c r="G183" s="6">
        <f t="shared" si="144"/>
        <v>1.1911057163828459E-3</v>
      </c>
      <c r="H183" s="2">
        <f t="shared" si="148"/>
        <v>-0.29621568680955207</v>
      </c>
      <c r="I183" s="2">
        <f t="shared" si="145"/>
        <v>0.94672548918189381</v>
      </c>
      <c r="J183" s="4">
        <f t="shared" si="149"/>
        <v>0.7</v>
      </c>
      <c r="K183" s="6">
        <v>1.6727631634804512E-4</v>
      </c>
      <c r="L183" s="9">
        <f t="shared" si="150"/>
        <v>231722439224328.69</v>
      </c>
      <c r="M183" s="6">
        <v>1650000000000000</v>
      </c>
      <c r="N183" s="2">
        <f t="shared" si="146"/>
        <v>8.1699346405228752</v>
      </c>
      <c r="O183" s="33">
        <v>1224</v>
      </c>
      <c r="P183" s="13"/>
      <c r="Q183" s="6">
        <f t="shared" si="147"/>
        <v>260525485303.66473</v>
      </c>
      <c r="W183" s="33"/>
      <c r="X183" s="34"/>
      <c r="Y183" s="6"/>
      <c r="Z183" s="27"/>
      <c r="AA183" s="27"/>
    </row>
    <row r="184" spans="4:27" ht="15.75">
      <c r="D184" s="2">
        <f t="shared" si="141"/>
        <v>0.9447098381445721</v>
      </c>
      <c r="E184" s="2">
        <f t="shared" si="142"/>
        <v>-2.4701561906784894E-2</v>
      </c>
      <c r="F184" s="2">
        <f t="shared" si="143"/>
        <v>-3.2030707449997902</v>
      </c>
      <c r="G184" s="6">
        <f t="shared" si="144"/>
        <v>1.2392100925548541E-3</v>
      </c>
      <c r="H184" s="2">
        <f t="shared" si="148"/>
        <v>-0.29621568680955207</v>
      </c>
      <c r="I184" s="2">
        <f t="shared" si="145"/>
        <v>0.94672548918189381</v>
      </c>
      <c r="J184" s="4">
        <f t="shared" si="149"/>
        <v>0.7</v>
      </c>
      <c r="K184" s="6">
        <v>1.7166589254781145E-4</v>
      </c>
      <c r="L184" s="9">
        <f t="shared" si="150"/>
        <v>231342564329667.94</v>
      </c>
      <c r="M184" s="6">
        <v>1670000000000000</v>
      </c>
      <c r="N184" s="2">
        <f t="shared" si="146"/>
        <v>8.2372322899505761</v>
      </c>
      <c r="O184" s="33">
        <v>1214</v>
      </c>
      <c r="P184" s="13"/>
      <c r="Q184" s="6">
        <f t="shared" si="147"/>
        <v>270496142581.63907</v>
      </c>
      <c r="W184" s="33"/>
      <c r="X184" s="34"/>
      <c r="Y184" s="6"/>
      <c r="Z184" s="27"/>
      <c r="AA184" s="27"/>
    </row>
    <row r="185" spans="4:27" ht="15.75">
      <c r="D185" s="2">
        <f t="shared" si="141"/>
        <v>0.94014719393784374</v>
      </c>
      <c r="E185" s="2">
        <f t="shared" si="142"/>
        <v>-2.680414585724613E-2</v>
      </c>
      <c r="F185" s="2">
        <f t="shared" si="143"/>
        <v>-2.9824158577198632</v>
      </c>
      <c r="G185" s="6">
        <f t="shared" si="144"/>
        <v>2.0596803660397913E-3</v>
      </c>
      <c r="H185" s="2">
        <f t="shared" si="148"/>
        <v>-0.29621568680955207</v>
      </c>
      <c r="I185" s="2">
        <f t="shared" si="145"/>
        <v>0.94672548918189381</v>
      </c>
      <c r="J185" s="4">
        <f t="shared" si="149"/>
        <v>0.7</v>
      </c>
      <c r="K185" s="6">
        <v>2.8436973779167663E-4</v>
      </c>
      <c r="L185" s="9">
        <f t="shared" si="150"/>
        <v>231949173943228.81</v>
      </c>
      <c r="M185" s="6">
        <v>1680000000000000</v>
      </c>
      <c r="N185" s="2">
        <f t="shared" si="146"/>
        <v>8.1300813008130088</v>
      </c>
      <c r="O185" s="33">
        <v>1230</v>
      </c>
      <c r="P185" s="13"/>
      <c r="Q185" s="6">
        <f t="shared" si="147"/>
        <v>448223812736.46631</v>
      </c>
      <c r="W185" s="33"/>
      <c r="X185" s="34"/>
      <c r="Y185" s="6"/>
      <c r="Z185" s="27"/>
      <c r="AA185" s="27"/>
    </row>
    <row r="186" spans="4:27" ht="15.75">
      <c r="D186" s="2">
        <f t="shared" si="141"/>
        <v>0.89582227707199191</v>
      </c>
      <c r="E186" s="2">
        <f>LOG(J186)/(1+(F186/(I186-0.14*F186))^2)</f>
        <v>-4.7778141836471943E-2</v>
      </c>
      <c r="F186" s="2">
        <f>LOG(G186)+H186</f>
        <v>-1.7935885020405142</v>
      </c>
      <c r="G186" s="6">
        <f>M186*K186/L186</f>
        <v>3.1814652559573421E-2</v>
      </c>
      <c r="H186" s="2">
        <f>-0.4-0.67*LOG(J186)</f>
        <v>-0.29621568680955207</v>
      </c>
      <c r="I186" s="2">
        <f>0.75-1.27*LOG(J186)</f>
        <v>0.94672548918189381</v>
      </c>
      <c r="J186" s="4">
        <f t="shared" si="149"/>
        <v>0.7</v>
      </c>
      <c r="K186" s="6">
        <f t="shared" ref="K186:K187" si="151">$P$174*101325/760/8.314/O186/1000000</f>
        <v>7.3123646860716865E-3</v>
      </c>
      <c r="L186" s="9">
        <f t="shared" si="150"/>
        <v>241340417502550.47</v>
      </c>
      <c r="M186" s="6">
        <f>$B$7*O186^$B$8*EXP(-$B$9/1.987/O186)</f>
        <v>1050024425894827.7</v>
      </c>
      <c r="N186" s="2">
        <f>10000/O186</f>
        <v>6.666666666666667</v>
      </c>
      <c r="O186" s="12">
        <v>1500</v>
      </c>
      <c r="P186" s="13"/>
      <c r="Q186" s="6">
        <f>L186/(1+L186/M186/K186)*D186</f>
        <v>6666185762865.502</v>
      </c>
      <c r="W186" s="33"/>
      <c r="X186" s="34"/>
      <c r="Y186" s="6"/>
      <c r="Z186" s="27"/>
      <c r="AA186" s="27"/>
    </row>
    <row r="187" spans="4:27" ht="15.75">
      <c r="D187" s="2">
        <f t="shared" si="141"/>
        <v>0.90628057926520711</v>
      </c>
      <c r="E187" s="2">
        <f>LOG(J187)/(1+(F187/(I187-0.14*F187))^2)</f>
        <v>-4.273732642692267E-2</v>
      </c>
      <c r="F187" s="2">
        <f>LOG(G187)+H187</f>
        <v>-1.9836234925548142</v>
      </c>
      <c r="G187" s="6">
        <f>M187*K187/L187</f>
        <v>2.0539610055311644E-2</v>
      </c>
      <c r="H187" s="2">
        <f>-0.4-0.67*LOG(J187)</f>
        <v>-0.29621568680955207</v>
      </c>
      <c r="I187" s="2">
        <f>0.75-1.27*LOG(J187)</f>
        <v>0.94672548918189381</v>
      </c>
      <c r="J187" s="4">
        <f t="shared" si="149"/>
        <v>0.7</v>
      </c>
      <c r="K187" s="6">
        <f t="shared" si="151"/>
        <v>6.0936372383930716E-3</v>
      </c>
      <c r="L187" s="9">
        <f t="shared" si="150"/>
        <v>250303146415970.06</v>
      </c>
      <c r="M187" s="6">
        <f>$B$7*O187^$B$8*EXP(-$B$9/1.987/O187)</f>
        <v>843688067056211.62</v>
      </c>
      <c r="N187" s="2">
        <f>10000/O187</f>
        <v>5.5555555555555554</v>
      </c>
      <c r="O187" s="12">
        <v>1800</v>
      </c>
      <c r="P187" s="13"/>
      <c r="Q187" s="6">
        <f>L187/(1+L187/M187/K187)*D187</f>
        <v>4565531159334.9453</v>
      </c>
      <c r="W187" s="33"/>
      <c r="X187" s="34"/>
      <c r="Y187" s="6"/>
      <c r="Z187" s="27"/>
      <c r="AA187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"/>
  <sheetViews>
    <sheetView topLeftCell="A22" workbookViewId="0">
      <selection activeCell="R30" sqref="R30"/>
    </sheetView>
  </sheetViews>
  <sheetFormatPr defaultColWidth="11.5703125" defaultRowHeight="12.75"/>
  <cols>
    <col min="2" max="2" width="14.28515625" customWidth="1"/>
    <col min="4" max="4" width="6.7109375" customWidth="1"/>
    <col min="5" max="5" width="7.140625" customWidth="1"/>
    <col min="6" max="6" width="8.85546875" bestFit="1" customWidth="1"/>
    <col min="7" max="7" width="9.7109375" customWidth="1"/>
    <col min="8" max="8" width="5.140625" bestFit="1" customWidth="1"/>
    <col min="9" max="9" width="7" bestFit="1" customWidth="1"/>
    <col min="10" max="10" width="8.42578125" bestFit="1" customWidth="1"/>
    <col min="11" max="11" width="9" bestFit="1" customWidth="1"/>
    <col min="12" max="12" width="9.7109375" customWidth="1"/>
    <col min="13" max="13" width="9.140625" customWidth="1"/>
    <col min="14" max="14" width="7.5703125" customWidth="1"/>
    <col min="15" max="15" width="6.140625" customWidth="1"/>
    <col min="16" max="16" width="10.140625" bestFit="1" customWidth="1"/>
    <col min="17" max="17" width="9" bestFit="1" customWidth="1"/>
    <col min="18" max="18" width="12.42578125" bestFit="1" customWidth="1"/>
    <col min="20" max="20" width="14" bestFit="1" customWidth="1"/>
    <col min="21" max="21" width="9.85546875" customWidth="1"/>
    <col min="22" max="22" width="13.42578125" customWidth="1"/>
    <col min="23" max="23" width="10" customWidth="1"/>
    <col min="24" max="24" width="12.42578125" bestFit="1" customWidth="1"/>
    <col min="25" max="25" width="9.5703125" bestFit="1" customWidth="1"/>
    <col min="26" max="26" width="10" customWidth="1"/>
    <col min="28" max="28" width="12.42578125" bestFit="1" customWidth="1"/>
  </cols>
  <sheetData>
    <row r="1" spans="1:35">
      <c r="A1" t="s">
        <v>0</v>
      </c>
    </row>
    <row r="2" spans="1:35">
      <c r="E2" s="6"/>
    </row>
    <row r="3" spans="1:35">
      <c r="S3" s="6"/>
    </row>
    <row r="4" spans="1:35">
      <c r="A4" t="s">
        <v>1</v>
      </c>
      <c r="B4" s="6">
        <v>4650000000000</v>
      </c>
      <c r="C4" s="1"/>
      <c r="D4" s="1"/>
      <c r="E4" s="1"/>
      <c r="F4" s="1"/>
      <c r="Y4" s="6"/>
      <c r="Z4" s="6"/>
    </row>
    <row r="5" spans="1:35">
      <c r="A5" t="s">
        <v>2</v>
      </c>
      <c r="B5" s="10">
        <v>0.44</v>
      </c>
      <c r="Q5" t="s">
        <v>20</v>
      </c>
      <c r="S5" s="14"/>
      <c r="T5" s="14"/>
      <c r="U5" s="14"/>
      <c r="Y5" s="10"/>
    </row>
    <row r="6" spans="1:35" ht="15.75">
      <c r="A6" t="s">
        <v>3</v>
      </c>
      <c r="B6" s="10">
        <v>0</v>
      </c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55</v>
      </c>
      <c r="N6" t="s">
        <v>14</v>
      </c>
      <c r="O6" t="s">
        <v>15</v>
      </c>
      <c r="P6">
        <v>100</v>
      </c>
      <c r="Q6" t="s">
        <v>16</v>
      </c>
      <c r="R6" t="s">
        <v>36</v>
      </c>
      <c r="S6" s="15"/>
      <c r="T6" s="18"/>
      <c r="U6" s="17"/>
      <c r="Y6" s="10"/>
      <c r="AC6" s="6"/>
    </row>
    <row r="7" spans="1:35" ht="15.75">
      <c r="A7" t="s">
        <v>1</v>
      </c>
      <c r="B7" s="6">
        <v>9.09E+19</v>
      </c>
      <c r="D7" s="3">
        <f>10^E7</f>
        <v>0.87878959113423283</v>
      </c>
      <c r="E7" s="3">
        <f t="shared" ref="E7:E17" si="0">LOG(J7)/(1+(F7/(I7-0.14*F7))^2)</f>
        <v>-5.6115095743035241E-2</v>
      </c>
      <c r="F7" s="3">
        <f t="shared" ref="F7:F17" si="1">LOG(G7)+H7</f>
        <v>-3.3434395827624463</v>
      </c>
      <c r="G7" s="4">
        <f t="shared" ref="G7:G17" si="2">M7*K7/L7</f>
        <v>7.1592960249681321E-4</v>
      </c>
      <c r="H7" s="3">
        <f>-0.4-0.67*LOG(J7)</f>
        <v>-0.19830990290513262</v>
      </c>
      <c r="I7" s="3">
        <f t="shared" ref="I7:I17" si="3">0.75-1.27*LOG(J7)</f>
        <v>1.1323080944932562</v>
      </c>
      <c r="J7" s="4">
        <f>(1-$B$10)*EXP(-O7/$B$11)+$B$10*EXP(-O7/$B$12)+EXP(-B$13/O7)</f>
        <v>0.5</v>
      </c>
      <c r="K7" s="4">
        <f t="shared" ref="K7:K19" si="4">$P$6*101325/760/8.314/O7/1000000</f>
        <v>5.3452958231518172E-6</v>
      </c>
      <c r="L7" s="9">
        <f>B$4*O7^B$5*EXP(-B$6/1.987/O7)</f>
        <v>57198719309897.531</v>
      </c>
      <c r="M7" s="4">
        <f t="shared" ref="M7:M17" si="5">$B$7*O7^$B$8*EXP(-$B$9/1.987/O7)</f>
        <v>7660989725114164</v>
      </c>
      <c r="N7" s="3">
        <f t="shared" ref="N7:N17" si="6">10000/O7</f>
        <v>33.333333333333336</v>
      </c>
      <c r="O7" s="12">
        <v>300</v>
      </c>
      <c r="P7" s="13"/>
      <c r="Q7" s="20">
        <f t="shared" ref="Q7:Q17" si="7">L7/(1+L7/M7/K7)*D7</f>
        <v>35960913577.458977</v>
      </c>
      <c r="R7" s="20"/>
      <c r="S7" s="6"/>
      <c r="T7" s="19"/>
      <c r="U7" s="17"/>
      <c r="V7" s="5"/>
      <c r="W7" s="9"/>
      <c r="X7" s="4"/>
      <c r="Y7" s="6"/>
      <c r="AA7" s="6"/>
      <c r="AC7" s="6"/>
      <c r="AI7" s="6"/>
    </row>
    <row r="8" spans="1:35" ht="15.75">
      <c r="A8" t="s">
        <v>2</v>
      </c>
      <c r="B8" s="11">
        <v>-1.5</v>
      </c>
      <c r="D8" s="3">
        <f>10^E8</f>
        <v>0.88879398495952378</v>
      </c>
      <c r="E8" s="3">
        <f t="shared" si="0"/>
        <v>-5.1198893207295475E-2</v>
      </c>
      <c r="F8" s="3">
        <f t="shared" si="1"/>
        <v>-3.6211101880717824</v>
      </c>
      <c r="G8" s="4">
        <f t="shared" si="2"/>
        <v>3.7774586135246995E-4</v>
      </c>
      <c r="H8" s="3">
        <f t="shared" ref="H8:H17" si="8">-0.4-0.67*LOG(J8)</f>
        <v>-0.19830990290513262</v>
      </c>
      <c r="I8" s="3">
        <f t="shared" si="3"/>
        <v>1.1323080944932562</v>
      </c>
      <c r="J8" s="4">
        <f t="shared" ref="J8:J19" si="9">(1-$B$10)*EXP(-O8/$B$11)+$B$10*EXP(-O8/$B$12)+EXP(-B$13/O8)</f>
        <v>0.5</v>
      </c>
      <c r="K8" s="4">
        <f t="shared" si="4"/>
        <v>4.0089718673638631E-6</v>
      </c>
      <c r="L8" s="9">
        <f t="shared" ref="L8:L19" si="10">B$4*O8^B$5*EXP(-B$6/1.987/O8)</f>
        <v>64917135642202.219</v>
      </c>
      <c r="M8" s="4">
        <f t="shared" si="5"/>
        <v>6116824994290516</v>
      </c>
      <c r="N8" s="3">
        <f t="shared" si="6"/>
        <v>25</v>
      </c>
      <c r="O8" s="12">
        <v>400</v>
      </c>
      <c r="P8" s="13"/>
      <c r="Q8" s="4">
        <f t="shared" si="7"/>
        <v>21786935552.710533</v>
      </c>
      <c r="R8" s="4"/>
      <c r="T8" s="19"/>
      <c r="U8" s="17"/>
      <c r="V8" s="5"/>
      <c r="W8" s="9"/>
      <c r="X8" s="4"/>
      <c r="Y8" s="6"/>
      <c r="AA8" s="6"/>
      <c r="AC8" s="6"/>
      <c r="AI8" s="6"/>
    </row>
    <row r="9" spans="1:35" ht="15.75">
      <c r="A9" t="s">
        <v>3</v>
      </c>
      <c r="B9" s="10">
        <v>492.2</v>
      </c>
      <c r="C9" s="1"/>
      <c r="D9" s="3">
        <f t="shared" ref="D9:D17" si="11">10^E9</f>
        <v>0.89598001166858143</v>
      </c>
      <c r="E9" s="3">
        <f t="shared" si="0"/>
        <v>-4.7701678863395588E-2</v>
      </c>
      <c r="F9" s="3">
        <f t="shared" si="1"/>
        <v>-3.8522360581240291</v>
      </c>
      <c r="G9" s="4">
        <f t="shared" si="2"/>
        <v>2.2185736204385993E-4</v>
      </c>
      <c r="H9" s="3">
        <f t="shared" si="8"/>
        <v>-0.19830990290513262</v>
      </c>
      <c r="I9" s="3">
        <f t="shared" si="3"/>
        <v>1.1323080944932562</v>
      </c>
      <c r="J9" s="4">
        <f t="shared" si="9"/>
        <v>0.5</v>
      </c>
      <c r="K9" s="4">
        <f t="shared" si="4"/>
        <v>3.2071774938910905E-6</v>
      </c>
      <c r="L9" s="9">
        <f t="shared" si="10"/>
        <v>71614300587921.641</v>
      </c>
      <c r="M9" s="4">
        <f t="shared" si="5"/>
        <v>4953938421966200</v>
      </c>
      <c r="N9" s="3">
        <f t="shared" si="6"/>
        <v>20</v>
      </c>
      <c r="O9" s="12">
        <v>500</v>
      </c>
      <c r="P9" s="13"/>
      <c r="Q9" s="20">
        <f t="shared" si="7"/>
        <v>14232316070.591728</v>
      </c>
      <c r="R9" s="20"/>
      <c r="S9" s="6"/>
      <c r="T9" s="19"/>
      <c r="U9" s="17"/>
      <c r="V9" s="5"/>
      <c r="W9" s="9"/>
      <c r="X9" s="4"/>
      <c r="Y9" s="6"/>
      <c r="AA9" s="6"/>
      <c r="AC9" s="6"/>
      <c r="AI9" s="6"/>
    </row>
    <row r="10" spans="1:35" ht="15.75">
      <c r="A10" t="s">
        <v>1</v>
      </c>
      <c r="B10" s="11">
        <v>0.5</v>
      </c>
      <c r="D10" s="3">
        <f t="shared" si="11"/>
        <v>0.90141896786917741</v>
      </c>
      <c r="E10" s="3">
        <f t="shared" si="0"/>
        <v>-4.5073307642623447E-2</v>
      </c>
      <c r="F10" s="3">
        <f t="shared" si="1"/>
        <v>-4.0491692093764193</v>
      </c>
      <c r="G10" s="4">
        <f t="shared" si="2"/>
        <v>1.4097454239206584E-4</v>
      </c>
      <c r="H10" s="3">
        <f t="shared" si="8"/>
        <v>-0.19830990290513262</v>
      </c>
      <c r="I10" s="3">
        <f t="shared" si="3"/>
        <v>1.1323080944932562</v>
      </c>
      <c r="J10" s="4">
        <f t="shared" si="9"/>
        <v>0.5</v>
      </c>
      <c r="K10" s="4">
        <f t="shared" si="4"/>
        <v>2.6726479115759086E-6</v>
      </c>
      <c r="L10" s="9">
        <f t="shared" si="10"/>
        <v>77596030140271.719</v>
      </c>
      <c r="M10" s="4">
        <f t="shared" si="5"/>
        <v>4092968921602400</v>
      </c>
      <c r="N10" s="3">
        <f t="shared" si="6"/>
        <v>16.666666666666668</v>
      </c>
      <c r="O10" s="12">
        <v>600</v>
      </c>
      <c r="P10" s="13"/>
      <c r="Q10" s="4">
        <f t="shared" si="7"/>
        <v>9859290628.9619179</v>
      </c>
      <c r="R10" s="4"/>
      <c r="S10" s="6"/>
      <c r="T10" s="19"/>
      <c r="U10" s="17"/>
      <c r="V10" s="5"/>
      <c r="W10" s="9"/>
      <c r="X10" s="4"/>
      <c r="Y10" s="6"/>
      <c r="AA10" s="6"/>
      <c r="AC10" s="6"/>
      <c r="AI10" s="6"/>
    </row>
    <row r="11" spans="1:35" ht="15.75">
      <c r="A11" t="s">
        <v>18</v>
      </c>
      <c r="B11" s="10">
        <v>1E-4</v>
      </c>
      <c r="D11" s="3">
        <f t="shared" si="11"/>
        <v>0.90570593091367191</v>
      </c>
      <c r="E11" s="3">
        <f t="shared" si="0"/>
        <v>-4.3012788319239631E-2</v>
      </c>
      <c r="F11" s="3">
        <f t="shared" si="1"/>
        <v>-4.2203786907992606</v>
      </c>
      <c r="G11" s="4">
        <f t="shared" si="2"/>
        <v>9.5045423930587461E-5</v>
      </c>
      <c r="H11" s="3">
        <f t="shared" si="8"/>
        <v>-0.19830990290513262</v>
      </c>
      <c r="I11" s="3">
        <f t="shared" si="3"/>
        <v>1.1323080944932562</v>
      </c>
      <c r="J11" s="4">
        <f t="shared" si="9"/>
        <v>0.5</v>
      </c>
      <c r="K11" s="4">
        <f t="shared" si="4"/>
        <v>2.2908410670650646E-6</v>
      </c>
      <c r="L11" s="9">
        <f t="shared" si="10"/>
        <v>83041673073623.266</v>
      </c>
      <c r="M11" s="4">
        <f t="shared" si="5"/>
        <v>3445342033831980</v>
      </c>
      <c r="N11" s="3">
        <f t="shared" si="6"/>
        <v>14.285714285714286</v>
      </c>
      <c r="O11" s="12">
        <v>700</v>
      </c>
      <c r="P11" s="13"/>
      <c r="Q11" s="4">
        <f t="shared" si="7"/>
        <v>7147813929.9909363</v>
      </c>
      <c r="R11" s="4"/>
      <c r="S11" s="16"/>
      <c r="T11" s="19"/>
      <c r="U11" s="17"/>
      <c r="V11" s="5"/>
      <c r="W11" s="9"/>
      <c r="X11" s="4"/>
      <c r="Y11" s="6"/>
      <c r="AA11" s="6"/>
      <c r="AC11" s="6"/>
      <c r="AI11" s="6"/>
    </row>
    <row r="12" spans="1:35" ht="15.75">
      <c r="A12" t="s">
        <v>8</v>
      </c>
      <c r="B12" s="6">
        <v>1E+30</v>
      </c>
      <c r="D12" s="3">
        <f t="shared" si="11"/>
        <v>0.90919192573787277</v>
      </c>
      <c r="E12" s="3">
        <f t="shared" si="0"/>
        <v>-4.1344429769611689E-2</v>
      </c>
      <c r="F12" s="3">
        <f t="shared" si="1"/>
        <v>-4.3716644548452885</v>
      </c>
      <c r="G12" s="4">
        <f t="shared" si="2"/>
        <v>6.708809314904366E-5</v>
      </c>
      <c r="H12" s="3">
        <f t="shared" si="8"/>
        <v>-0.19830990290513262</v>
      </c>
      <c r="I12" s="3">
        <f t="shared" si="3"/>
        <v>1.1323080944932562</v>
      </c>
      <c r="J12" s="4">
        <f t="shared" si="9"/>
        <v>0.5</v>
      </c>
      <c r="K12" s="4">
        <f t="shared" si="4"/>
        <v>2.0044859336819316E-6</v>
      </c>
      <c r="L12" s="9">
        <f t="shared" si="10"/>
        <v>88066867137719.016</v>
      </c>
      <c r="M12" s="4">
        <f t="shared" si="5"/>
        <v>2947507930388527.5</v>
      </c>
      <c r="N12" s="3">
        <f t="shared" si="6"/>
        <v>12.5</v>
      </c>
      <c r="O12" s="12">
        <v>800</v>
      </c>
      <c r="P12" s="13"/>
      <c r="Q12" s="4">
        <f t="shared" si="7"/>
        <v>5371362099.4971733</v>
      </c>
      <c r="R12" s="4"/>
      <c r="S12" s="17"/>
      <c r="T12" s="19"/>
      <c r="U12" s="17"/>
      <c r="V12" s="5"/>
      <c r="W12" s="9"/>
      <c r="X12" s="4"/>
      <c r="Y12" s="6"/>
      <c r="AA12" s="6"/>
      <c r="AC12" s="6"/>
      <c r="AI12" s="6"/>
    </row>
    <row r="13" spans="1:35" ht="15.75">
      <c r="A13" t="s">
        <v>19</v>
      </c>
      <c r="B13" s="6">
        <v>1E+30</v>
      </c>
      <c r="D13" s="3">
        <f t="shared" si="11"/>
        <v>0.91209666254875255</v>
      </c>
      <c r="E13" s="3">
        <f t="shared" si="0"/>
        <v>-3.9959133396403952E-2</v>
      </c>
      <c r="F13" s="3">
        <f t="shared" si="1"/>
        <v>-4.5071113241207454</v>
      </c>
      <c r="G13" s="4">
        <f t="shared" si="2"/>
        <v>4.91132392428405E-5</v>
      </c>
      <c r="H13" s="3">
        <f t="shared" si="8"/>
        <v>-0.19830990290513262</v>
      </c>
      <c r="I13" s="3">
        <f t="shared" si="3"/>
        <v>1.1323080944932562</v>
      </c>
      <c r="J13" s="4">
        <f t="shared" si="9"/>
        <v>0.5</v>
      </c>
      <c r="K13" s="4">
        <f t="shared" si="4"/>
        <v>1.7817652743839391E-6</v>
      </c>
      <c r="L13" s="9">
        <f t="shared" si="10"/>
        <v>92751225604224.75</v>
      </c>
      <c r="M13" s="4">
        <f t="shared" si="5"/>
        <v>2556629202879713</v>
      </c>
      <c r="N13" s="3">
        <f t="shared" si="6"/>
        <v>11.111111111111111</v>
      </c>
      <c r="O13" s="12">
        <v>900</v>
      </c>
      <c r="P13" s="13"/>
      <c r="Q13" s="4">
        <f t="shared" si="7"/>
        <v>4154681855.7421303</v>
      </c>
      <c r="R13" s="4"/>
      <c r="S13" s="6"/>
      <c r="T13" s="19"/>
      <c r="U13" s="17"/>
      <c r="V13" s="5"/>
      <c r="W13" s="9"/>
      <c r="X13" s="4"/>
      <c r="Y13" s="6"/>
      <c r="AA13" s="6"/>
      <c r="AC13" s="6"/>
      <c r="AI13" s="6"/>
    </row>
    <row r="14" spans="1:35" ht="15.75">
      <c r="D14" s="3">
        <f t="shared" si="11"/>
        <v>0.91456475913811763</v>
      </c>
      <c r="E14" s="3">
        <f t="shared" si="0"/>
        <v>-3.8785537272766187E-2</v>
      </c>
      <c r="F14" s="3">
        <f t="shared" si="1"/>
        <v>-4.6296851089932547</v>
      </c>
      <c r="G14" s="4">
        <f t="shared" si="2"/>
        <v>3.703606127154047E-5</v>
      </c>
      <c r="H14" s="3">
        <f t="shared" si="8"/>
        <v>-0.19830990290513262</v>
      </c>
      <c r="I14" s="3">
        <f t="shared" si="3"/>
        <v>1.1323080944932562</v>
      </c>
      <c r="J14" s="4">
        <f t="shared" si="9"/>
        <v>0.5</v>
      </c>
      <c r="K14" s="4">
        <f t="shared" si="4"/>
        <v>1.6035887469455452E-6</v>
      </c>
      <c r="L14" s="9">
        <f t="shared" si="10"/>
        <v>97152270084712.828</v>
      </c>
      <c r="M14" s="4">
        <f t="shared" si="5"/>
        <v>2243803116216840.3</v>
      </c>
      <c r="N14" s="3">
        <f t="shared" si="6"/>
        <v>10</v>
      </c>
      <c r="O14" s="12">
        <v>1000</v>
      </c>
      <c r="P14" s="13"/>
      <c r="Q14" s="4">
        <f t="shared" si="7"/>
        <v>3290607818.5989876</v>
      </c>
      <c r="R14" s="4"/>
      <c r="S14" s="6"/>
      <c r="T14" s="19"/>
      <c r="U14" s="17"/>
      <c r="V14" s="5"/>
      <c r="W14" s="9"/>
      <c r="X14" s="4"/>
      <c r="Y14" s="6"/>
      <c r="AA14" s="6"/>
      <c r="AC14" s="6"/>
      <c r="AI14" s="6"/>
    </row>
    <row r="15" spans="1:35" ht="15.75">
      <c r="D15" s="3">
        <f t="shared" si="11"/>
        <v>0.91669546625387255</v>
      </c>
      <c r="E15" s="3">
        <f t="shared" si="0"/>
        <v>-3.7774916556312488E-2</v>
      </c>
      <c r="F15" s="3">
        <f t="shared" si="1"/>
        <v>-4.7415996818690838</v>
      </c>
      <c r="G15" s="4">
        <f t="shared" si="2"/>
        <v>2.86226751116694E-5</v>
      </c>
      <c r="H15" s="3">
        <f t="shared" si="8"/>
        <v>-0.19830990290513262</v>
      </c>
      <c r="I15" s="3">
        <f t="shared" si="3"/>
        <v>1.1323080944932562</v>
      </c>
      <c r="J15" s="4">
        <f t="shared" si="9"/>
        <v>0.5</v>
      </c>
      <c r="K15" s="4">
        <f t="shared" si="4"/>
        <v>1.4578079517686775E-6</v>
      </c>
      <c r="L15" s="9">
        <f t="shared" si="10"/>
        <v>101313130365237.22</v>
      </c>
      <c r="M15" s="4">
        <f t="shared" si="5"/>
        <v>1989187129533874.5</v>
      </c>
      <c r="N15" s="3">
        <f t="shared" si="6"/>
        <v>9.0909090909090917</v>
      </c>
      <c r="O15" s="12">
        <v>1100</v>
      </c>
      <c r="P15" s="13"/>
      <c r="Q15" s="4">
        <f t="shared" si="7"/>
        <v>2658205843.342989</v>
      </c>
      <c r="R15" s="4"/>
      <c r="S15" s="6"/>
      <c r="T15" s="19"/>
      <c r="U15" s="17"/>
      <c r="V15" s="5"/>
      <c r="W15" s="9"/>
      <c r="X15" s="4"/>
      <c r="Y15" s="6"/>
      <c r="AA15" s="6"/>
      <c r="AC15" s="6"/>
      <c r="AI15" s="6"/>
    </row>
    <row r="16" spans="1:35" ht="15.75">
      <c r="D16" s="3">
        <f t="shared" si="11"/>
        <v>0.91855930881049608</v>
      </c>
      <c r="E16" s="3">
        <f t="shared" si="0"/>
        <v>-3.6892797270460104E-2</v>
      </c>
      <c r="F16" s="3">
        <f t="shared" si="1"/>
        <v>-4.8445481163094586</v>
      </c>
      <c r="G16" s="4">
        <f t="shared" si="2"/>
        <v>2.2581967945367277E-5</v>
      </c>
      <c r="H16" s="3">
        <f t="shared" si="8"/>
        <v>-0.19830990290513262</v>
      </c>
      <c r="I16" s="3">
        <f t="shared" si="3"/>
        <v>1.1323080944932562</v>
      </c>
      <c r="J16" s="4">
        <f t="shared" si="9"/>
        <v>0.5</v>
      </c>
      <c r="K16" s="4">
        <f t="shared" si="4"/>
        <v>1.3363239557879543E-6</v>
      </c>
      <c r="L16" s="9">
        <f t="shared" si="10"/>
        <v>105267110281052.58</v>
      </c>
      <c r="M16" s="4">
        <f t="shared" si="5"/>
        <v>1778863949697368.2</v>
      </c>
      <c r="N16" s="3">
        <f t="shared" si="6"/>
        <v>8.3333333333333339</v>
      </c>
      <c r="O16" s="12">
        <v>1200</v>
      </c>
      <c r="P16" s="13"/>
      <c r="Q16" s="4">
        <f t="shared" si="7"/>
        <v>2183493399.1770835</v>
      </c>
      <c r="R16" s="4"/>
      <c r="S16" s="6"/>
      <c r="T16" s="19"/>
      <c r="U16" s="17"/>
      <c r="V16" s="5"/>
      <c r="W16" s="9"/>
      <c r="X16" s="4"/>
      <c r="Y16" s="6"/>
      <c r="AA16" s="6"/>
      <c r="AC16" s="6"/>
      <c r="AI16" s="6"/>
    </row>
    <row r="17" spans="1:35" ht="15.75">
      <c r="A17" t="s">
        <v>17</v>
      </c>
      <c r="D17" s="3">
        <f t="shared" si="11"/>
        <v>0.92020788479080118</v>
      </c>
      <c r="E17" s="3">
        <f t="shared" si="0"/>
        <v>-3.6114049807948093E-2</v>
      </c>
      <c r="F17" s="3">
        <f t="shared" si="1"/>
        <v>-4.9398526102254596</v>
      </c>
      <c r="G17" s="4">
        <f t="shared" si="2"/>
        <v>1.813248357265928E-5</v>
      </c>
      <c r="H17" s="3">
        <f t="shared" si="8"/>
        <v>-0.19830990290513262</v>
      </c>
      <c r="I17" s="3">
        <f t="shared" si="3"/>
        <v>1.1323080944932562</v>
      </c>
      <c r="J17" s="4">
        <f t="shared" si="9"/>
        <v>0.5</v>
      </c>
      <c r="K17" s="4">
        <f t="shared" si="4"/>
        <v>1.233529805342727E-6</v>
      </c>
      <c r="L17" s="9">
        <f t="shared" si="10"/>
        <v>109040548617475.11</v>
      </c>
      <c r="M17" s="4">
        <f t="shared" si="5"/>
        <v>1602860302196572.7</v>
      </c>
      <c r="N17" s="3">
        <f t="shared" si="6"/>
        <v>7.6923076923076925</v>
      </c>
      <c r="O17" s="12">
        <v>1300</v>
      </c>
      <c r="P17" s="13"/>
      <c r="Q17" s="4">
        <f t="shared" si="7"/>
        <v>1819379914.9689994</v>
      </c>
      <c r="R17" s="4"/>
      <c r="S17" s="6"/>
      <c r="T17" s="19"/>
      <c r="U17" s="17"/>
      <c r="V17" s="5"/>
      <c r="W17" s="9"/>
      <c r="X17" s="4"/>
      <c r="Y17" s="6"/>
      <c r="AA17" s="6"/>
      <c r="AC17" s="6"/>
      <c r="AI17" s="6"/>
    </row>
    <row r="18" spans="1:35" ht="15.75">
      <c r="A18" s="6"/>
      <c r="D18" s="3">
        <f>10^E18</f>
        <v>0.92300497861238284</v>
      </c>
      <c r="E18" s="3">
        <f>LOG(J18)/(1+(F18/(I18-0.14*F18))^2)</f>
        <v>-3.4795956419316404E-2</v>
      </c>
      <c r="F18" s="3">
        <f>LOG(G18)+H18</f>
        <v>-5.1115336984893318</v>
      </c>
      <c r="G18" s="4">
        <f>M18*K18/L18</f>
        <v>1.2211702187582721E-5</v>
      </c>
      <c r="H18" s="3">
        <f>-0.4-0.67*LOG(J18)</f>
        <v>-0.19830990290513262</v>
      </c>
      <c r="I18" s="3">
        <f>0.75-1.27*LOG(J18)</f>
        <v>1.1323080944932562</v>
      </c>
      <c r="J18" s="4">
        <f t="shared" si="9"/>
        <v>0.5</v>
      </c>
      <c r="K18" s="4">
        <f t="shared" si="4"/>
        <v>1.0690591646303636E-6</v>
      </c>
      <c r="L18" s="9">
        <f t="shared" si="10"/>
        <v>116126973303923.45</v>
      </c>
      <c r="M18" s="4">
        <f>$B$7*O18^$B$8*EXP(-$B$9/1.987/O18)</f>
        <v>1326500965382215.7</v>
      </c>
      <c r="N18" s="3">
        <f>10000/O18</f>
        <v>6.666666666666667</v>
      </c>
      <c r="O18" s="12">
        <v>1500</v>
      </c>
      <c r="P18" s="13"/>
      <c r="Q18" s="4">
        <f>L18/(1+L18/M18/K18)*D18</f>
        <v>1308904773.1148877</v>
      </c>
      <c r="R18" s="4"/>
      <c r="S18" s="6"/>
      <c r="T18" s="19"/>
      <c r="U18" s="17"/>
      <c r="V18" s="5"/>
      <c r="W18" s="9"/>
      <c r="X18" s="4"/>
      <c r="Y18" s="6"/>
      <c r="AA18" s="6"/>
      <c r="AC18" s="6"/>
    </row>
    <row r="19" spans="1:35" ht="15.75">
      <c r="D19" s="3">
        <f>10^E19</f>
        <v>0.92630732301871332</v>
      </c>
      <c r="E19" s="3">
        <f>LOG(J19)/(1+(F19/(I19-0.14*F19))^2)</f>
        <v>-3.3244902574934551E-2</v>
      </c>
      <c r="F19" s="3">
        <f>LOG(G19)+H19</f>
        <v>-5.3323733244934735</v>
      </c>
      <c r="G19" s="4">
        <f>M19*K19/L19</f>
        <v>7.3440661228151458E-6</v>
      </c>
      <c r="H19" s="3">
        <f>-0.4-0.67*LOG(J19)</f>
        <v>-0.19830990290513262</v>
      </c>
      <c r="I19" s="3">
        <f>0.75-1.27*LOG(J19)</f>
        <v>1.1323080944932562</v>
      </c>
      <c r="J19" s="4">
        <f t="shared" si="9"/>
        <v>0.5</v>
      </c>
      <c r="K19" s="4">
        <f t="shared" si="4"/>
        <v>8.9088263719196957E-7</v>
      </c>
      <c r="L19" s="9">
        <f t="shared" si="10"/>
        <v>125826714030766.56</v>
      </c>
      <c r="M19" s="4">
        <f>$B$7*O19^$B$8*EXP(-$B$9/1.987/O19)</f>
        <v>1037263124547099</v>
      </c>
      <c r="N19" s="3">
        <f>10000/O19</f>
        <v>5.5555555555555554</v>
      </c>
      <c r="O19" s="12">
        <v>1800</v>
      </c>
      <c r="P19" s="13"/>
      <c r="Q19" s="4">
        <f>L19/(1+L19/M19/K19)*D19</f>
        <v>855975514.10154843</v>
      </c>
      <c r="R19" s="4"/>
      <c r="S19" s="6"/>
      <c r="T19" s="19"/>
      <c r="U19" s="17"/>
      <c r="V19" s="5"/>
      <c r="W19" s="9"/>
      <c r="X19" s="4"/>
      <c r="Y19" s="6"/>
      <c r="AA19" s="6"/>
      <c r="AC19" s="6"/>
      <c r="AI19" s="6"/>
    </row>
    <row r="20" spans="1:35">
      <c r="D20" s="2" t="s">
        <v>4</v>
      </c>
      <c r="E20" s="2" t="s">
        <v>5</v>
      </c>
      <c r="F20" t="s">
        <v>6</v>
      </c>
      <c r="G20" s="6" t="s">
        <v>7</v>
      </c>
      <c r="H20" s="2" t="s">
        <v>8</v>
      </c>
      <c r="I20" t="s">
        <v>9</v>
      </c>
      <c r="J20" t="s">
        <v>10</v>
      </c>
      <c r="K20" s="6" t="s">
        <v>11</v>
      </c>
      <c r="L20" s="6" t="s">
        <v>12</v>
      </c>
      <c r="M20" s="6" t="s">
        <v>13</v>
      </c>
      <c r="N20" s="2" t="s">
        <v>14</v>
      </c>
      <c r="P20">
        <v>380</v>
      </c>
      <c r="Q20" s="6" t="s">
        <v>16</v>
      </c>
      <c r="S20" s="6"/>
      <c r="Y20" s="6"/>
      <c r="AI20" s="6"/>
    </row>
    <row r="21" spans="1:35" ht="15.75">
      <c r="D21" s="7">
        <f t="shared" ref="D21:D31" si="12">10^E21</f>
        <v>0.85141821588585176</v>
      </c>
      <c r="E21" s="7">
        <f t="shared" ref="E21:E31" si="13">LOG(J21)/(1+(F21/(I21-0.14*F21))^2)</f>
        <v>-6.9857062434569211E-2</v>
      </c>
      <c r="F21" s="7">
        <f t="shared" ref="F21:F31" si="14">LOG(G21)+H21</f>
        <v>-2.7636559861456362</v>
      </c>
      <c r="G21" s="8">
        <f t="shared" ref="G21:G31" si="15">M21*K21/L21</f>
        <v>2.7205324894878902E-3</v>
      </c>
      <c r="H21" s="7">
        <f>-0.4-0.67*LOG(J21)</f>
        <v>-0.19830990290513262</v>
      </c>
      <c r="I21" s="7">
        <f t="shared" ref="I21:I31" si="16">0.75-1.27*LOG(J21)</f>
        <v>1.1323080944932562</v>
      </c>
      <c r="J21" s="4">
        <f>(1-$B$10)*EXP(-O21/$B$11)+$B$10*EXP(-O21/$B$12)+EXP(-B$13/O21)</f>
        <v>0.5</v>
      </c>
      <c r="K21" s="8">
        <f t="shared" ref="K21:K33" si="17">$P$20*101325/760/8.314/O21/1000000</f>
        <v>2.0312124127976908E-5</v>
      </c>
      <c r="L21" s="9">
        <f>B$4*O21^B$5*EXP(-B$6/1.987/O21)</f>
        <v>57198719309897.531</v>
      </c>
      <c r="M21" s="8">
        <f t="shared" ref="M21:M31" si="18">$B$7*O21^$B$8*EXP(-$B$9/1.987/O21)</f>
        <v>7660989725114164</v>
      </c>
      <c r="N21" s="7">
        <f t="shared" ref="N21:N31" si="19">10000/O21</f>
        <v>33.333333333333336</v>
      </c>
      <c r="O21" s="12">
        <v>300</v>
      </c>
      <c r="P21" s="13"/>
      <c r="Q21" s="8">
        <f t="shared" ref="Q21:Q31" si="20">L21/(1+L21/M21/K21)*D21</f>
        <v>132130552598.20557</v>
      </c>
      <c r="R21" s="8"/>
      <c r="S21" s="6"/>
      <c r="AI21" s="6"/>
    </row>
    <row r="22" spans="1:35" ht="15.75">
      <c r="D22" s="7">
        <f t="shared" si="12"/>
        <v>0.86579962192414162</v>
      </c>
      <c r="E22" s="7">
        <f t="shared" si="13"/>
        <v>-6.2582608169772402E-2</v>
      </c>
      <c r="F22" s="7">
        <f t="shared" si="14"/>
        <v>-3.0413265914549723</v>
      </c>
      <c r="G22" s="8">
        <f t="shared" si="15"/>
        <v>1.4354342731393854E-3</v>
      </c>
      <c r="H22" s="7">
        <f t="shared" ref="H22:H31" si="21">-0.4-0.67*LOG(J22)</f>
        <v>-0.19830990290513262</v>
      </c>
      <c r="I22" s="7">
        <f t="shared" si="16"/>
        <v>1.1323080944932562</v>
      </c>
      <c r="J22" s="4">
        <f t="shared" ref="J22:J33" si="22">(1-$B$10)*EXP(-O22/$B$11)+$B$10*EXP(-O22/$B$12)+EXP(-B$13/O22)</f>
        <v>0.5</v>
      </c>
      <c r="K22" s="8">
        <f t="shared" si="17"/>
        <v>1.523409309598268E-5</v>
      </c>
      <c r="L22" s="9">
        <f t="shared" ref="L22:L33" si="23">B$4*O22^B$5*EXP(-B$6/1.987/O22)</f>
        <v>64917135642202.219</v>
      </c>
      <c r="M22" s="8">
        <f t="shared" si="18"/>
        <v>6116824994290516</v>
      </c>
      <c r="N22" s="7">
        <f t="shared" si="19"/>
        <v>25</v>
      </c>
      <c r="O22" s="12">
        <v>400</v>
      </c>
      <c r="P22" s="13"/>
      <c r="Q22" s="20">
        <f t="shared" si="20"/>
        <v>80563272335.987335</v>
      </c>
      <c r="R22" s="20"/>
      <c r="S22" s="6"/>
      <c r="AI22" s="6"/>
    </row>
    <row r="23" spans="1:35" ht="15.75">
      <c r="D23" s="7">
        <f t="shared" si="12"/>
        <v>0.87595309561764123</v>
      </c>
      <c r="E23" s="7">
        <f t="shared" si="13"/>
        <v>-5.7519148238091837E-2</v>
      </c>
      <c r="F23" s="7">
        <f t="shared" si="14"/>
        <v>-3.272452461507219</v>
      </c>
      <c r="G23" s="8">
        <f t="shared" si="15"/>
        <v>8.4305797576666758E-4</v>
      </c>
      <c r="H23" s="7">
        <f t="shared" si="21"/>
        <v>-0.19830990290513262</v>
      </c>
      <c r="I23" s="7">
        <f t="shared" si="16"/>
        <v>1.1323080944932562</v>
      </c>
      <c r="J23" s="4">
        <f t="shared" si="22"/>
        <v>0.5</v>
      </c>
      <c r="K23" s="8">
        <f t="shared" si="17"/>
        <v>1.2187274476786143E-5</v>
      </c>
      <c r="L23" s="9">
        <f t="shared" si="23"/>
        <v>71614300587921.641</v>
      </c>
      <c r="M23" s="8">
        <f t="shared" si="18"/>
        <v>4953938421966200</v>
      </c>
      <c r="N23" s="7">
        <f t="shared" si="19"/>
        <v>20</v>
      </c>
      <c r="O23" s="12">
        <v>500</v>
      </c>
      <c r="P23" s="13"/>
      <c r="Q23" s="8">
        <f t="shared" si="20"/>
        <v>52841126400.201622</v>
      </c>
      <c r="R23" s="8"/>
      <c r="S23" s="6"/>
      <c r="AI23" s="6"/>
    </row>
    <row r="24" spans="1:35" ht="15.75">
      <c r="D24" s="7">
        <f t="shared" si="12"/>
        <v>0.88353165074574813</v>
      </c>
      <c r="E24" s="7">
        <f t="shared" si="13"/>
        <v>-5.3777888151538819E-2</v>
      </c>
      <c r="F24" s="7">
        <f t="shared" si="14"/>
        <v>-3.4693856127596092</v>
      </c>
      <c r="G24" s="8">
        <f t="shared" si="15"/>
        <v>5.3570326108985026E-4</v>
      </c>
      <c r="H24" s="7">
        <f t="shared" si="21"/>
        <v>-0.19830990290513262</v>
      </c>
      <c r="I24" s="7">
        <f t="shared" si="16"/>
        <v>1.1323080944932562</v>
      </c>
      <c r="J24" s="4">
        <f t="shared" si="22"/>
        <v>0.5</v>
      </c>
      <c r="K24" s="8">
        <f t="shared" si="17"/>
        <v>1.0156062063988454E-5</v>
      </c>
      <c r="L24" s="9">
        <f t="shared" si="23"/>
        <v>77596030140271.719</v>
      </c>
      <c r="M24" s="8">
        <f t="shared" si="18"/>
        <v>4092968921602400</v>
      </c>
      <c r="N24" s="7">
        <f t="shared" si="19"/>
        <v>16.666666666666668</v>
      </c>
      <c r="O24" s="12">
        <v>600</v>
      </c>
      <c r="P24" s="13"/>
      <c r="Q24" s="20">
        <f t="shared" si="20"/>
        <v>36707373801.372192</v>
      </c>
      <c r="R24" s="20"/>
      <c r="S24" s="6"/>
      <c r="AI24" s="6"/>
    </row>
    <row r="25" spans="1:35" ht="15.75">
      <c r="D25" s="7">
        <f t="shared" si="12"/>
        <v>0.88943679822212562</v>
      </c>
      <c r="E25" s="7">
        <f t="shared" si="13"/>
        <v>-5.0884906667817219E-2</v>
      </c>
      <c r="F25" s="7">
        <f t="shared" si="14"/>
        <v>-3.6405950941824501</v>
      </c>
      <c r="G25" s="8">
        <f t="shared" si="15"/>
        <v>3.6117261093623231E-4</v>
      </c>
      <c r="H25" s="7">
        <f t="shared" si="21"/>
        <v>-0.19830990290513262</v>
      </c>
      <c r="I25" s="7">
        <f t="shared" si="16"/>
        <v>1.1323080944932562</v>
      </c>
      <c r="J25" s="4">
        <f t="shared" si="22"/>
        <v>0.5</v>
      </c>
      <c r="K25" s="8">
        <f t="shared" si="17"/>
        <v>8.7051960548472451E-6</v>
      </c>
      <c r="L25" s="9">
        <f t="shared" si="23"/>
        <v>83041673073623.266</v>
      </c>
      <c r="M25" s="8">
        <f t="shared" si="18"/>
        <v>3445342033831980</v>
      </c>
      <c r="N25" s="7">
        <f t="shared" si="19"/>
        <v>14.285714285714286</v>
      </c>
      <c r="O25" s="12">
        <v>700</v>
      </c>
      <c r="P25" s="13"/>
      <c r="Q25" s="8">
        <f t="shared" si="20"/>
        <v>26666693273.8773</v>
      </c>
      <c r="R25" s="8"/>
      <c r="S25" s="6"/>
      <c r="AI25" s="6"/>
    </row>
    <row r="26" spans="1:35" ht="15.75">
      <c r="D26" s="7">
        <f t="shared" si="12"/>
        <v>0.89419249403000667</v>
      </c>
      <c r="E26" s="7">
        <f t="shared" si="13"/>
        <v>-4.8568979977974762E-2</v>
      </c>
      <c r="F26" s="7">
        <f t="shared" si="14"/>
        <v>-3.791880858228478</v>
      </c>
      <c r="G26" s="8">
        <f t="shared" si="15"/>
        <v>2.5493475396636591E-4</v>
      </c>
      <c r="H26" s="7">
        <f t="shared" si="21"/>
        <v>-0.19830990290513262</v>
      </c>
      <c r="I26" s="7">
        <f t="shared" si="16"/>
        <v>1.1323080944932562</v>
      </c>
      <c r="J26" s="4">
        <f t="shared" si="22"/>
        <v>0.5</v>
      </c>
      <c r="K26" s="8">
        <f t="shared" si="17"/>
        <v>7.6170465479913399E-6</v>
      </c>
      <c r="L26" s="9">
        <f t="shared" si="23"/>
        <v>88066867137719.016</v>
      </c>
      <c r="M26" s="8">
        <f t="shared" si="18"/>
        <v>2947507930388527.5</v>
      </c>
      <c r="N26" s="7">
        <f t="shared" si="19"/>
        <v>12.5</v>
      </c>
      <c r="O26" s="12">
        <v>800</v>
      </c>
      <c r="P26" s="13"/>
      <c r="Q26" s="8">
        <f t="shared" si="20"/>
        <v>20070671795.493378</v>
      </c>
      <c r="R26" s="8"/>
      <c r="S26" s="6"/>
      <c r="AI26" s="6"/>
    </row>
    <row r="27" spans="1:35" ht="15.75">
      <c r="D27" s="7">
        <f t="shared" si="12"/>
        <v>0.89812263057857777</v>
      </c>
      <c r="E27" s="7">
        <f t="shared" si="13"/>
        <v>-4.6664360273132782E-2</v>
      </c>
      <c r="F27" s="7">
        <f t="shared" si="14"/>
        <v>-3.9273277275039353</v>
      </c>
      <c r="G27" s="8">
        <f t="shared" si="15"/>
        <v>1.866303091227939E-4</v>
      </c>
      <c r="H27" s="7">
        <f t="shared" si="21"/>
        <v>-0.19830990290513262</v>
      </c>
      <c r="I27" s="7">
        <f t="shared" si="16"/>
        <v>1.1323080944932562</v>
      </c>
      <c r="J27" s="4">
        <f t="shared" si="22"/>
        <v>0.5</v>
      </c>
      <c r="K27" s="8">
        <f t="shared" si="17"/>
        <v>6.7707080426589692E-6</v>
      </c>
      <c r="L27" s="9">
        <f t="shared" si="23"/>
        <v>92751225604224.75</v>
      </c>
      <c r="M27" s="8">
        <f t="shared" si="18"/>
        <v>2556629202879713</v>
      </c>
      <c r="N27" s="7">
        <f t="shared" si="19"/>
        <v>11.111111111111111</v>
      </c>
      <c r="O27" s="12">
        <v>900</v>
      </c>
      <c r="P27" s="13"/>
      <c r="Q27" s="8">
        <f t="shared" si="20"/>
        <v>15543772355.182835</v>
      </c>
      <c r="R27" s="8"/>
      <c r="S27" s="6"/>
      <c r="AI27" s="6"/>
    </row>
    <row r="28" spans="1:35" ht="15.75">
      <c r="D28" s="7">
        <f t="shared" si="12"/>
        <v>0.90143813738755396</v>
      </c>
      <c r="E28" s="7">
        <f t="shared" si="13"/>
        <v>-4.5064072062024549E-2</v>
      </c>
      <c r="F28" s="7">
        <f t="shared" si="14"/>
        <v>-4.0499015123764446</v>
      </c>
      <c r="G28" s="8">
        <f t="shared" si="15"/>
        <v>1.4073703283185376E-4</v>
      </c>
      <c r="H28" s="7">
        <f t="shared" si="21"/>
        <v>-0.19830990290513262</v>
      </c>
      <c r="I28" s="7">
        <f t="shared" si="16"/>
        <v>1.1323080944932562</v>
      </c>
      <c r="J28" s="4">
        <f t="shared" si="22"/>
        <v>0.5</v>
      </c>
      <c r="K28" s="8">
        <f t="shared" si="17"/>
        <v>6.0936372383930717E-6</v>
      </c>
      <c r="L28" s="9">
        <f t="shared" si="23"/>
        <v>97152270084712.828</v>
      </c>
      <c r="M28" s="8">
        <f t="shared" si="18"/>
        <v>2243803116216840.3</v>
      </c>
      <c r="N28" s="7">
        <f t="shared" si="19"/>
        <v>10</v>
      </c>
      <c r="O28" s="12">
        <v>1000</v>
      </c>
      <c r="P28" s="13"/>
      <c r="Q28" s="8">
        <f t="shared" si="20"/>
        <v>12323559161.6392</v>
      </c>
      <c r="R28" s="8"/>
      <c r="S28" s="6"/>
      <c r="AI28" s="6"/>
    </row>
    <row r="29" spans="1:35" ht="15.75">
      <c r="D29" s="7">
        <f t="shared" si="12"/>
        <v>0.90428243578615997</v>
      </c>
      <c r="E29" s="7">
        <f t="shared" si="13"/>
        <v>-4.3695904540017823E-2</v>
      </c>
      <c r="F29" s="7">
        <f t="shared" si="14"/>
        <v>-4.1618160852522728</v>
      </c>
      <c r="G29" s="8">
        <f t="shared" si="15"/>
        <v>1.0876616542434373E-4</v>
      </c>
      <c r="H29" s="7">
        <f t="shared" si="21"/>
        <v>-0.19830990290513262</v>
      </c>
      <c r="I29" s="7">
        <f t="shared" si="16"/>
        <v>1.1323080944932562</v>
      </c>
      <c r="J29" s="4">
        <f t="shared" si="22"/>
        <v>0.5</v>
      </c>
      <c r="K29" s="8">
        <f t="shared" si="17"/>
        <v>5.539670216720975E-6</v>
      </c>
      <c r="L29" s="9">
        <f t="shared" si="23"/>
        <v>101313130365237.22</v>
      </c>
      <c r="M29" s="8">
        <f t="shared" si="18"/>
        <v>1989187129533874.5</v>
      </c>
      <c r="N29" s="7">
        <f t="shared" si="19"/>
        <v>9.0909090909090917</v>
      </c>
      <c r="O29" s="12">
        <v>1100</v>
      </c>
      <c r="P29" s="13"/>
      <c r="Q29" s="8">
        <f t="shared" si="20"/>
        <v>9963602971.5622597</v>
      </c>
      <c r="R29" s="8"/>
      <c r="S29" s="6"/>
      <c r="AI29" s="6"/>
    </row>
    <row r="30" spans="1:35" ht="15.75">
      <c r="D30" s="7">
        <f t="shared" si="12"/>
        <v>0.90675660560773641</v>
      </c>
      <c r="E30" s="7">
        <f t="shared" si="13"/>
        <v>-4.2509271955369077E-2</v>
      </c>
      <c r="F30" s="7">
        <f t="shared" si="14"/>
        <v>-4.2647645196926485</v>
      </c>
      <c r="G30" s="8">
        <f t="shared" si="15"/>
        <v>8.5811478192395683E-5</v>
      </c>
      <c r="H30" s="7">
        <f t="shared" si="21"/>
        <v>-0.19830990290513262</v>
      </c>
      <c r="I30" s="7">
        <f t="shared" si="16"/>
        <v>1.1323080944932562</v>
      </c>
      <c r="J30" s="4">
        <f t="shared" si="22"/>
        <v>0.5</v>
      </c>
      <c r="K30" s="8">
        <f t="shared" si="17"/>
        <v>5.0780310319942269E-6</v>
      </c>
      <c r="L30" s="9">
        <f t="shared" si="23"/>
        <v>105267110281052.58</v>
      </c>
      <c r="M30" s="8">
        <f t="shared" si="18"/>
        <v>1778863949697368.2</v>
      </c>
      <c r="N30" s="7">
        <f t="shared" si="19"/>
        <v>8.3333333333333339</v>
      </c>
      <c r="O30" s="12">
        <v>1200</v>
      </c>
      <c r="P30" s="13"/>
      <c r="Q30" s="8">
        <f t="shared" si="20"/>
        <v>8190144168.1279459</v>
      </c>
      <c r="R30" s="8"/>
      <c r="S30" s="6"/>
    </row>
    <row r="31" spans="1:35" ht="15.75">
      <c r="D31" s="7">
        <f t="shared" si="12"/>
        <v>0.90893406189470116</v>
      </c>
      <c r="E31" s="7">
        <f t="shared" si="13"/>
        <v>-4.1467621281844017E-2</v>
      </c>
      <c r="F31" s="7">
        <f t="shared" si="14"/>
        <v>-4.3600690136086495</v>
      </c>
      <c r="G31" s="8">
        <f t="shared" si="15"/>
        <v>6.8903437576105274E-5</v>
      </c>
      <c r="H31" s="7">
        <f t="shared" si="21"/>
        <v>-0.19830990290513262</v>
      </c>
      <c r="I31" s="7">
        <f t="shared" si="16"/>
        <v>1.1323080944932562</v>
      </c>
      <c r="J31" s="4">
        <f t="shared" si="22"/>
        <v>0.5</v>
      </c>
      <c r="K31" s="8">
        <f t="shared" si="17"/>
        <v>4.6874132603023633E-6</v>
      </c>
      <c r="L31" s="9">
        <f t="shared" si="23"/>
        <v>109040548617475.11</v>
      </c>
      <c r="M31" s="8">
        <f t="shared" si="18"/>
        <v>1602860302196572.7</v>
      </c>
      <c r="N31" s="7">
        <f t="shared" si="19"/>
        <v>7.6923076923076925</v>
      </c>
      <c r="O31" s="12">
        <v>1300</v>
      </c>
      <c r="P31" s="13"/>
      <c r="Q31" s="8">
        <f t="shared" si="20"/>
        <v>6828595264.7640305</v>
      </c>
      <c r="R31" s="8"/>
      <c r="S31" s="6"/>
      <c r="AI31" s="6"/>
    </row>
    <row r="32" spans="1:35" ht="15.75">
      <c r="D32" s="7">
        <f>10^E32</f>
        <v>0.91260459513612968</v>
      </c>
      <c r="E32" s="7">
        <f>LOG(J32)/(1+(F32/(I32-0.14*F32))^2)</f>
        <v>-3.9717348803287311E-2</v>
      </c>
      <c r="F32" s="7">
        <f>LOG(G32)+H32</f>
        <v>-4.5317501018725217</v>
      </c>
      <c r="G32" s="8">
        <f>M32*K32/L32</f>
        <v>4.6404468312814341E-5</v>
      </c>
      <c r="H32" s="7">
        <f>-0.4-0.67*LOG(J32)</f>
        <v>-0.19830990290513262</v>
      </c>
      <c r="I32" s="7">
        <f>0.75-1.27*LOG(J32)</f>
        <v>1.1323080944932562</v>
      </c>
      <c r="J32" s="4">
        <f t="shared" si="22"/>
        <v>0.5</v>
      </c>
      <c r="K32" s="8">
        <f t="shared" si="17"/>
        <v>4.0624248255953812E-6</v>
      </c>
      <c r="L32" s="9">
        <f t="shared" si="23"/>
        <v>116126973303923.45</v>
      </c>
      <c r="M32" s="8">
        <f>$B$7*O32^$B$8*EXP(-$B$9/1.987/O32)</f>
        <v>1326500965382215.7</v>
      </c>
      <c r="N32" s="7">
        <f>10000/O32</f>
        <v>6.666666666666667</v>
      </c>
      <c r="O32" s="12">
        <v>1500</v>
      </c>
      <c r="P32" s="13"/>
      <c r="Q32" s="8">
        <f>L32/(1+L32/M32/K32)*D32</f>
        <v>4917624981.9025249</v>
      </c>
      <c r="R32" s="8"/>
      <c r="S32" s="6"/>
      <c r="Y32" s="6"/>
      <c r="AI32" s="6"/>
    </row>
    <row r="33" spans="4:44" ht="15.75">
      <c r="D33" s="7">
        <f>10^E33</f>
        <v>0.9168987146275196</v>
      </c>
      <c r="E33" s="7">
        <f>LOG(J33)/(1+(F33/(I33-0.14*F33))^2)</f>
        <v>-3.7678636094242275E-2</v>
      </c>
      <c r="F33" s="7">
        <f>LOG(G33)+H33</f>
        <v>-4.7525897278766633</v>
      </c>
      <c r="G33" s="8">
        <f>M33*K33/L33</f>
        <v>2.7907451266697555E-5</v>
      </c>
      <c r="H33" s="7">
        <f>-0.4-0.67*LOG(J33)</f>
        <v>-0.19830990290513262</v>
      </c>
      <c r="I33" s="7">
        <f>0.75-1.27*LOG(J33)</f>
        <v>1.1323080944932562</v>
      </c>
      <c r="J33" s="4">
        <f t="shared" si="22"/>
        <v>0.5</v>
      </c>
      <c r="K33" s="8">
        <f t="shared" si="17"/>
        <v>3.3853540213294846E-6</v>
      </c>
      <c r="L33" s="9">
        <f t="shared" si="23"/>
        <v>125826714030766.56</v>
      </c>
      <c r="M33" s="8">
        <f>$B$7*O33^$B$8*EXP(-$B$9/1.987/O33)</f>
        <v>1037263124547099</v>
      </c>
      <c r="N33" s="7">
        <f>10000/O33</f>
        <v>5.5555555555555554</v>
      </c>
      <c r="O33" s="12">
        <v>1800</v>
      </c>
      <c r="P33" s="13"/>
      <c r="Q33" s="8">
        <f>L33/(1+L33/M33/K33)*D33</f>
        <v>3219602635.22193</v>
      </c>
      <c r="R33" s="8"/>
      <c r="S33" s="6"/>
      <c r="Y33" s="10"/>
      <c r="AI33" s="6"/>
    </row>
    <row r="34" spans="4:44">
      <c r="D34" s="2" t="s">
        <v>4</v>
      </c>
      <c r="E34" s="2" t="s">
        <v>5</v>
      </c>
      <c r="F34" t="s">
        <v>6</v>
      </c>
      <c r="G34" s="6" t="s">
        <v>7</v>
      </c>
      <c r="H34" s="2" t="s">
        <v>8</v>
      </c>
      <c r="I34" t="s">
        <v>9</v>
      </c>
      <c r="J34" t="s">
        <v>10</v>
      </c>
      <c r="K34" s="6" t="s">
        <v>11</v>
      </c>
      <c r="L34" s="6" t="s">
        <v>12</v>
      </c>
      <c r="M34" s="6" t="s">
        <v>13</v>
      </c>
      <c r="N34" s="2" t="s">
        <v>14</v>
      </c>
      <c r="P34">
        <v>760</v>
      </c>
      <c r="Q34" s="6" t="s">
        <v>16</v>
      </c>
      <c r="R34" t="s">
        <v>37</v>
      </c>
      <c r="S34" s="6"/>
      <c r="Y34" s="10"/>
      <c r="AI34" s="6"/>
    </row>
    <row r="35" spans="4:44" ht="15.75">
      <c r="D35" s="2">
        <f t="shared" ref="D35:D45" si="24">10^E35</f>
        <v>0.83244439325321706</v>
      </c>
      <c r="E35" s="2">
        <f t="shared" ref="E35:E45" si="25">LOG(J35)/(1+(F35/(I35-0.14*F35))^2)</f>
        <v>-7.9644767443094469E-2</v>
      </c>
      <c r="F35" s="2">
        <f t="shared" ref="F35:F45" si="26">LOG(G35)+H35</f>
        <v>-2.462625990481655</v>
      </c>
      <c r="G35" s="6">
        <f t="shared" ref="G35:G45" si="27">M35*K35/L35</f>
        <v>5.4410649789757804E-3</v>
      </c>
      <c r="H35" s="2">
        <f>-0.4-0.67*LOG(J35)</f>
        <v>-0.19830990290513262</v>
      </c>
      <c r="I35" s="2">
        <f t="shared" ref="I35:I45" si="28">0.75-1.27*LOG(J35)</f>
        <v>1.1323080944932562</v>
      </c>
      <c r="J35" s="4">
        <f>(1-$B$10)*EXP(-O35/$B$11)+$B$10*EXP(-O35/$B$12)+EXP(-B$13/O35)</f>
        <v>0.5</v>
      </c>
      <c r="K35" s="8">
        <f>$P$34*101325/760/8.314/O35/1000000</f>
        <v>4.0624248255953815E-5</v>
      </c>
      <c r="L35" s="9">
        <f>B$4*O35^B$5*EXP(-B$6/1.987/O35)</f>
        <v>57198719309897.531</v>
      </c>
      <c r="M35" s="6">
        <f t="shared" ref="M35:M45" si="29">$B$7*O35^$B$8*EXP(-$B$9/1.987/O35)</f>
        <v>7660989725114164</v>
      </c>
      <c r="N35" s="2">
        <f t="shared" ref="N35:N45" si="30">10000/O35</f>
        <v>33.333333333333336</v>
      </c>
      <c r="O35" s="12">
        <v>300</v>
      </c>
      <c r="P35" s="13"/>
      <c r="Q35" s="6">
        <f t="shared" ref="Q35:Q45" si="31">L35/(1+L35/M35/K35)*D35</f>
        <v>257672950800.34665</v>
      </c>
      <c r="R35" s="6"/>
      <c r="S35" s="6"/>
      <c r="AI35" s="6"/>
    </row>
    <row r="36" spans="4:44" ht="15.75">
      <c r="D36" s="2">
        <f t="shared" si="24"/>
        <v>0.85008258078285659</v>
      </c>
      <c r="E36" s="2">
        <f t="shared" si="25"/>
        <v>-7.0538882948957535E-2</v>
      </c>
      <c r="F36" s="2">
        <f t="shared" si="26"/>
        <v>-2.7402965957909911</v>
      </c>
      <c r="G36" s="6">
        <f t="shared" si="27"/>
        <v>2.8708685462787709E-3</v>
      </c>
      <c r="H36" s="2">
        <f t="shared" ref="H36:H45" si="32">-0.4-0.67*LOG(J36)</f>
        <v>-0.19830990290513262</v>
      </c>
      <c r="I36" s="2">
        <f t="shared" si="28"/>
        <v>1.1323080944932562</v>
      </c>
      <c r="J36" s="4">
        <f t="shared" ref="J36:J47" si="33">(1-$B$10)*EXP(-O36/$B$11)+$B$10*EXP(-O36/$B$12)+EXP(-B$13/O36)</f>
        <v>0.5</v>
      </c>
      <c r="K36" s="8">
        <f t="shared" ref="K36:K47" si="34">$P$34*101325/760/8.314/O36/1000000</f>
        <v>3.046818619196536E-5</v>
      </c>
      <c r="L36" s="9">
        <f t="shared" ref="L36:L47" si="35">B$4*O36^B$5*EXP(-B$6/1.987/O36)</f>
        <v>64917135642202.219</v>
      </c>
      <c r="M36" s="6">
        <f t="shared" si="29"/>
        <v>6116824994290516</v>
      </c>
      <c r="N36" s="2">
        <f t="shared" si="30"/>
        <v>25</v>
      </c>
      <c r="O36" s="12">
        <v>400</v>
      </c>
      <c r="P36" s="13"/>
      <c r="Q36" s="6">
        <f t="shared" si="31"/>
        <v>157975142997.94589</v>
      </c>
      <c r="R36" s="6"/>
      <c r="S36" s="6"/>
      <c r="AI36" s="6"/>
    </row>
    <row r="37" spans="4:44" ht="15.75">
      <c r="D37" s="2">
        <f t="shared" si="24"/>
        <v>0.86242243775844474</v>
      </c>
      <c r="E37" s="2">
        <f t="shared" si="25"/>
        <v>-6.427995291346536E-2</v>
      </c>
      <c r="F37" s="2">
        <f t="shared" si="26"/>
        <v>-2.9714224658432378</v>
      </c>
      <c r="G37" s="6">
        <f t="shared" si="27"/>
        <v>1.6861159515333352E-3</v>
      </c>
      <c r="H37" s="2">
        <f t="shared" si="32"/>
        <v>-0.19830990290513262</v>
      </c>
      <c r="I37" s="2">
        <f t="shared" si="28"/>
        <v>1.1323080944932562</v>
      </c>
      <c r="J37" s="4">
        <f t="shared" si="33"/>
        <v>0.5</v>
      </c>
      <c r="K37" s="8">
        <f t="shared" si="34"/>
        <v>2.4374548953572287E-5</v>
      </c>
      <c r="L37" s="9">
        <f t="shared" si="35"/>
        <v>71614300587921.641</v>
      </c>
      <c r="M37" s="6">
        <f t="shared" si="29"/>
        <v>4953938421966200</v>
      </c>
      <c r="N37" s="2">
        <f t="shared" si="30"/>
        <v>20</v>
      </c>
      <c r="O37" s="12">
        <v>500</v>
      </c>
      <c r="P37" s="13"/>
      <c r="Q37" s="6">
        <f t="shared" si="31"/>
        <v>103962229559.14285</v>
      </c>
      <c r="R37" s="6"/>
      <c r="S37" s="6"/>
      <c r="AI37" s="6"/>
    </row>
    <row r="38" spans="4:44" ht="15.75">
      <c r="D38" s="2">
        <f t="shared" si="24"/>
        <v>0.87156228623165155</v>
      </c>
      <c r="E38" s="2">
        <f t="shared" si="25"/>
        <v>-5.9701570573383413E-2</v>
      </c>
      <c r="F38" s="2">
        <f t="shared" si="26"/>
        <v>-3.168355617095628</v>
      </c>
      <c r="G38" s="6">
        <f t="shared" si="27"/>
        <v>1.0714065221797005E-3</v>
      </c>
      <c r="H38" s="2">
        <f t="shared" si="32"/>
        <v>-0.19830990290513262</v>
      </c>
      <c r="I38" s="2">
        <f t="shared" si="28"/>
        <v>1.1323080944932562</v>
      </c>
      <c r="J38" s="4">
        <f t="shared" si="33"/>
        <v>0.5</v>
      </c>
      <c r="K38" s="8">
        <f t="shared" si="34"/>
        <v>2.0312124127976908E-5</v>
      </c>
      <c r="L38" s="9">
        <f t="shared" si="35"/>
        <v>77596030140271.719</v>
      </c>
      <c r="M38" s="6">
        <f t="shared" si="29"/>
        <v>4092968921602400</v>
      </c>
      <c r="N38" s="2">
        <f t="shared" si="30"/>
        <v>16.666666666666668</v>
      </c>
      <c r="O38" s="12">
        <v>600</v>
      </c>
      <c r="P38" s="13"/>
      <c r="Q38" s="6">
        <f t="shared" si="31"/>
        <v>72381430411.476288</v>
      </c>
      <c r="R38" s="6"/>
      <c r="S38" s="6"/>
      <c r="AI38" s="6"/>
    </row>
    <row r="39" spans="4:44" ht="15.75">
      <c r="D39" s="2">
        <f t="shared" si="24"/>
        <v>0.87863792577876987</v>
      </c>
      <c r="E39" s="2">
        <f t="shared" si="25"/>
        <v>-5.6190054654857255E-2</v>
      </c>
      <c r="F39" s="2">
        <f t="shared" si="26"/>
        <v>-3.3395650985184688</v>
      </c>
      <c r="G39" s="6">
        <f t="shared" si="27"/>
        <v>7.2234522187246462E-4</v>
      </c>
      <c r="H39" s="2">
        <f t="shared" si="32"/>
        <v>-0.19830990290513262</v>
      </c>
      <c r="I39" s="2">
        <f t="shared" si="28"/>
        <v>1.1323080944932562</v>
      </c>
      <c r="J39" s="4">
        <f t="shared" si="33"/>
        <v>0.5</v>
      </c>
      <c r="K39" s="8">
        <f t="shared" si="34"/>
        <v>1.741039210969449E-5</v>
      </c>
      <c r="L39" s="9">
        <f t="shared" si="35"/>
        <v>83041673073623.266</v>
      </c>
      <c r="M39" s="6">
        <f t="shared" si="29"/>
        <v>3445342033831980</v>
      </c>
      <c r="N39" s="2">
        <f t="shared" si="30"/>
        <v>14.285714285714286</v>
      </c>
      <c r="O39" s="12">
        <v>700</v>
      </c>
      <c r="P39" s="13"/>
      <c r="Q39" s="20">
        <f t="shared" si="31"/>
        <v>52666837741.621155</v>
      </c>
      <c r="R39" s="20"/>
      <c r="S39" s="6"/>
      <c r="AI39" s="6"/>
    </row>
    <row r="40" spans="4:44" ht="15.75">
      <c r="D40" s="2">
        <f t="shared" si="24"/>
        <v>0.88430487938417379</v>
      </c>
      <c r="E40" s="2">
        <f t="shared" si="25"/>
        <v>-5.3397978644512921E-2</v>
      </c>
      <c r="F40" s="2">
        <f t="shared" si="26"/>
        <v>-3.4908508625644967</v>
      </c>
      <c r="G40" s="6">
        <f t="shared" si="27"/>
        <v>5.0986950793273182E-4</v>
      </c>
      <c r="H40" s="2">
        <f t="shared" si="32"/>
        <v>-0.19830990290513262</v>
      </c>
      <c r="I40" s="2">
        <f t="shared" si="28"/>
        <v>1.1323080944932562</v>
      </c>
      <c r="J40" s="4">
        <f t="shared" si="33"/>
        <v>0.5</v>
      </c>
      <c r="K40" s="8">
        <f t="shared" si="34"/>
        <v>1.523409309598268E-5</v>
      </c>
      <c r="L40" s="9">
        <f t="shared" si="35"/>
        <v>88066867137719.016</v>
      </c>
      <c r="M40" s="6">
        <f t="shared" si="29"/>
        <v>2947507930388527.5</v>
      </c>
      <c r="N40" s="2">
        <f t="shared" si="30"/>
        <v>12.5</v>
      </c>
      <c r="O40" s="12">
        <v>800</v>
      </c>
      <c r="P40" s="13"/>
      <c r="Q40" s="20">
        <f t="shared" si="31"/>
        <v>39687361932.464264</v>
      </c>
      <c r="R40" s="20"/>
      <c r="S40" s="6"/>
      <c r="U40" s="6"/>
      <c r="V40" s="6"/>
      <c r="AI40" s="6"/>
    </row>
    <row r="41" spans="4:44" ht="15.75">
      <c r="D41" s="2">
        <f t="shared" si="24"/>
        <v>0.8889658278363689</v>
      </c>
      <c r="E41" s="2">
        <f t="shared" si="25"/>
        <v>-5.1114933143777873E-2</v>
      </c>
      <c r="F41" s="2">
        <f t="shared" si="26"/>
        <v>-3.6262977318399541</v>
      </c>
      <c r="G41" s="6">
        <f t="shared" si="27"/>
        <v>3.732606182455878E-4</v>
      </c>
      <c r="H41" s="2">
        <f t="shared" si="32"/>
        <v>-0.19830990290513262</v>
      </c>
      <c r="I41" s="2">
        <f t="shared" si="28"/>
        <v>1.1323080944932562</v>
      </c>
      <c r="J41" s="4">
        <f t="shared" si="33"/>
        <v>0.5</v>
      </c>
      <c r="K41" s="8">
        <f t="shared" si="34"/>
        <v>1.3541416085317938E-5</v>
      </c>
      <c r="L41" s="9">
        <f t="shared" si="35"/>
        <v>92751225604224.75</v>
      </c>
      <c r="M41" s="6">
        <f t="shared" si="29"/>
        <v>2556629202879713</v>
      </c>
      <c r="N41" s="2">
        <f t="shared" si="30"/>
        <v>11.111111111111111</v>
      </c>
      <c r="O41" s="12">
        <v>900</v>
      </c>
      <c r="P41" s="13"/>
      <c r="Q41" s="20">
        <f t="shared" si="31"/>
        <v>30764851292.2318</v>
      </c>
      <c r="R41" s="20"/>
      <c r="S41" s="6"/>
      <c r="V41" s="6"/>
      <c r="AI41" s="6"/>
    </row>
    <row r="42" spans="4:44" ht="15.75">
      <c r="D42" s="2">
        <f t="shared" si="24"/>
        <v>0.89288154195599612</v>
      </c>
      <c r="E42" s="2">
        <f t="shared" si="25"/>
        <v>-4.9206154871061634E-2</v>
      </c>
      <c r="F42" s="2">
        <f t="shared" si="26"/>
        <v>-3.7488715167124633</v>
      </c>
      <c r="G42" s="6">
        <f t="shared" si="27"/>
        <v>2.8147406566370753E-4</v>
      </c>
      <c r="H42" s="2">
        <f t="shared" si="32"/>
        <v>-0.19830990290513262</v>
      </c>
      <c r="I42" s="2">
        <f t="shared" si="28"/>
        <v>1.1323080944932562</v>
      </c>
      <c r="J42" s="4">
        <f t="shared" si="33"/>
        <v>0.5</v>
      </c>
      <c r="K42" s="8">
        <f t="shared" si="34"/>
        <v>1.2187274476786143E-5</v>
      </c>
      <c r="L42" s="9">
        <f t="shared" si="35"/>
        <v>97152270084712.828</v>
      </c>
      <c r="M42" s="6">
        <f t="shared" si="29"/>
        <v>2243803116216840.3</v>
      </c>
      <c r="N42" s="2">
        <f t="shared" si="30"/>
        <v>10</v>
      </c>
      <c r="O42" s="12">
        <v>1000</v>
      </c>
      <c r="P42" s="13"/>
      <c r="Q42" s="6">
        <f t="shared" si="31"/>
        <v>24409729052.214855</v>
      </c>
      <c r="R42" s="6"/>
      <c r="S42" s="6"/>
    </row>
    <row r="43" spans="4:44" ht="15.75">
      <c r="D43" s="2">
        <f t="shared" si="24"/>
        <v>0.89622844568917859</v>
      </c>
      <c r="E43" s="2">
        <f t="shared" si="25"/>
        <v>-4.7581275988930326E-2</v>
      </c>
      <c r="F43" s="2">
        <f t="shared" si="26"/>
        <v>-3.8607860895882915</v>
      </c>
      <c r="G43" s="6">
        <f t="shared" si="27"/>
        <v>2.1753233084868747E-4</v>
      </c>
      <c r="H43" s="2">
        <f t="shared" si="32"/>
        <v>-0.19830990290513262</v>
      </c>
      <c r="I43" s="2">
        <f t="shared" si="28"/>
        <v>1.1323080944932562</v>
      </c>
      <c r="J43" s="4">
        <f t="shared" si="33"/>
        <v>0.5</v>
      </c>
      <c r="K43" s="8">
        <f t="shared" si="34"/>
        <v>1.107934043344195E-5</v>
      </c>
      <c r="L43" s="9">
        <f t="shared" si="35"/>
        <v>101313130365237.22</v>
      </c>
      <c r="M43" s="6">
        <f t="shared" si="29"/>
        <v>1989187129533874.5</v>
      </c>
      <c r="N43" s="2">
        <f t="shared" si="30"/>
        <v>9.0909090909090917</v>
      </c>
      <c r="O43" s="12">
        <v>1100</v>
      </c>
      <c r="P43" s="13"/>
      <c r="Q43" s="6">
        <f t="shared" si="31"/>
        <v>19747576680.023521</v>
      </c>
      <c r="R43" s="6"/>
      <c r="S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4:44" ht="15.75">
      <c r="D44" s="2">
        <f t="shared" si="24"/>
        <v>0.89913032027066364</v>
      </c>
      <c r="E44" s="2">
        <f t="shared" si="25"/>
        <v>-4.6177356906805397E-2</v>
      </c>
      <c r="F44" s="2">
        <f t="shared" si="26"/>
        <v>-3.9637345240286672</v>
      </c>
      <c r="G44" s="6">
        <f t="shared" si="27"/>
        <v>1.7162295638479137E-4</v>
      </c>
      <c r="H44" s="2">
        <f t="shared" si="32"/>
        <v>-0.19830990290513262</v>
      </c>
      <c r="I44" s="2">
        <f t="shared" si="28"/>
        <v>1.1323080944932562</v>
      </c>
      <c r="J44" s="4">
        <f t="shared" si="33"/>
        <v>0.5</v>
      </c>
      <c r="K44" s="8">
        <f t="shared" si="34"/>
        <v>1.0156062063988454E-5</v>
      </c>
      <c r="L44" s="9">
        <f t="shared" si="35"/>
        <v>105267110281052.58</v>
      </c>
      <c r="M44" s="6">
        <f t="shared" si="29"/>
        <v>1778863949697368.2</v>
      </c>
      <c r="N44" s="2">
        <f t="shared" si="30"/>
        <v>8.3333333333333339</v>
      </c>
      <c r="O44" s="12">
        <v>1200</v>
      </c>
      <c r="P44" s="13"/>
      <c r="Q44" s="6">
        <f t="shared" si="31"/>
        <v>16241128204.690947</v>
      </c>
      <c r="R44" s="6"/>
      <c r="S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4:44" ht="15.75">
      <c r="D45" s="2">
        <f t="shared" si="24"/>
        <v>0.90167670496362451</v>
      </c>
      <c r="E45" s="2">
        <f t="shared" si="25"/>
        <v>-4.4949150283311923E-2</v>
      </c>
      <c r="F45" s="2">
        <f t="shared" si="26"/>
        <v>-4.0590390179446683</v>
      </c>
      <c r="G45" s="6">
        <f t="shared" si="27"/>
        <v>1.3780687515221055E-4</v>
      </c>
      <c r="H45" s="2">
        <f t="shared" si="32"/>
        <v>-0.19830990290513262</v>
      </c>
      <c r="I45" s="2">
        <f t="shared" si="28"/>
        <v>1.1323080944932562</v>
      </c>
      <c r="J45" s="4">
        <f t="shared" si="33"/>
        <v>0.5</v>
      </c>
      <c r="K45" s="8">
        <f t="shared" si="34"/>
        <v>9.3748265206047265E-6</v>
      </c>
      <c r="L45" s="9">
        <f t="shared" si="35"/>
        <v>109040548617475.11</v>
      </c>
      <c r="M45" s="6">
        <f t="shared" si="29"/>
        <v>1602860302196572.7</v>
      </c>
      <c r="N45" s="2">
        <f t="shared" si="30"/>
        <v>7.6923076923076925</v>
      </c>
      <c r="O45" s="12">
        <v>1300</v>
      </c>
      <c r="P45" s="13"/>
      <c r="Q45" s="6">
        <f t="shared" si="31"/>
        <v>13547211713.584427</v>
      </c>
      <c r="R45" s="6"/>
      <c r="S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4:44" ht="15.75">
      <c r="D46" s="2">
        <f>10^E46</f>
        <v>0.90595286628872551</v>
      </c>
      <c r="E46" s="2">
        <f>LOG(J46)/(1+(F46/(I46-0.14*F46))^2)</f>
        <v>-4.2894396631354158E-2</v>
      </c>
      <c r="F46" s="2">
        <f>LOG(G46)+H46</f>
        <v>-4.2307201062085404</v>
      </c>
      <c r="G46" s="6">
        <f>M46*K46/L46</f>
        <v>9.2808936625628683E-5</v>
      </c>
      <c r="H46" s="2">
        <f>-0.4-0.67*LOG(J46)</f>
        <v>-0.19830990290513262</v>
      </c>
      <c r="I46" s="2">
        <f>0.75-1.27*LOG(J46)</f>
        <v>1.1323080944932562</v>
      </c>
      <c r="J46" s="4">
        <f t="shared" si="33"/>
        <v>0.5</v>
      </c>
      <c r="K46" s="8">
        <f t="shared" si="34"/>
        <v>8.1248496511907623E-6</v>
      </c>
      <c r="L46" s="9">
        <f t="shared" si="35"/>
        <v>116126973303923.45</v>
      </c>
      <c r="M46" s="6">
        <f>$B$7*O46^$B$8*EXP(-$B$9/1.987/O46)</f>
        <v>1326500965382215.7</v>
      </c>
      <c r="N46" s="2">
        <f>10000/O46</f>
        <v>6.666666666666667</v>
      </c>
      <c r="O46" s="12">
        <v>1500</v>
      </c>
      <c r="P46" s="13"/>
      <c r="Q46" s="6">
        <f>L46/(1+L46/M46/K46)*D46</f>
        <v>9763110447.5654526</v>
      </c>
      <c r="R46" s="6"/>
      <c r="S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4:44" ht="15.75">
      <c r="D47" s="2">
        <f>10^E47</f>
        <v>0.91092876477546381</v>
      </c>
      <c r="E47" s="2">
        <f>LOG(J47)/(1+(F47/(I47-0.14*F47))^2)</f>
        <v>-4.0515583811360764E-2</v>
      </c>
      <c r="F47" s="2">
        <f>LOG(G47)+H47</f>
        <v>-4.4515597322126821</v>
      </c>
      <c r="G47" s="6">
        <f>M47*K47/L47</f>
        <v>5.5814902533395111E-5</v>
      </c>
      <c r="H47" s="2">
        <f>-0.4-0.67*LOG(J47)</f>
        <v>-0.19830990290513262</v>
      </c>
      <c r="I47" s="2">
        <f>0.75-1.27*LOG(J47)</f>
        <v>1.1323080944932562</v>
      </c>
      <c r="J47" s="4">
        <f t="shared" si="33"/>
        <v>0.5</v>
      </c>
      <c r="K47" s="8">
        <f t="shared" si="34"/>
        <v>6.7707080426589692E-6</v>
      </c>
      <c r="L47" s="9">
        <f t="shared" si="35"/>
        <v>125826714030766.56</v>
      </c>
      <c r="M47" s="6">
        <f>$B$7*O47^$B$8*EXP(-$B$9/1.987/O47)</f>
        <v>1037263124547099</v>
      </c>
      <c r="N47" s="2">
        <f>10000/O47</f>
        <v>5.5555555555555554</v>
      </c>
      <c r="O47" s="12">
        <v>1800</v>
      </c>
      <c r="P47" s="13"/>
      <c r="Q47" s="6">
        <f>L47/(1+L47/M47/K47)*D47</f>
        <v>6397100926.3707857</v>
      </c>
      <c r="R47" s="6"/>
      <c r="S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4:44">
      <c r="D48" s="2" t="s">
        <v>4</v>
      </c>
      <c r="E48" s="2" t="s">
        <v>5</v>
      </c>
      <c r="F48" t="s">
        <v>6</v>
      </c>
      <c r="G48" s="6" t="s">
        <v>7</v>
      </c>
      <c r="H48" s="2" t="s">
        <v>8</v>
      </c>
      <c r="I48" t="s">
        <v>9</v>
      </c>
      <c r="J48" t="s">
        <v>10</v>
      </c>
      <c r="K48" s="6" t="s">
        <v>11</v>
      </c>
      <c r="L48" s="6" t="s">
        <v>12</v>
      </c>
      <c r="M48" s="6" t="s">
        <v>13</v>
      </c>
      <c r="N48" s="2" t="s">
        <v>14</v>
      </c>
      <c r="P48">
        <v>15200</v>
      </c>
      <c r="Q48" s="6" t="s">
        <v>16</v>
      </c>
      <c r="S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4:44" ht="15.75">
      <c r="D49" s="2">
        <f t="shared" ref="D49:D59" si="36">10^E49</f>
        <v>0.68107301793377661</v>
      </c>
      <c r="E49" s="2">
        <f t="shared" ref="E49:E59" si="37">LOG(J49)/(1+(F49/(I49-0.14*F49))^2)</f>
        <v>-0.16680632481882612</v>
      </c>
      <c r="F49" s="2">
        <f t="shared" ref="F49:F59" si="38">LOG(G49)+H49</f>
        <v>-1.1615959948176739</v>
      </c>
      <c r="G49" s="6">
        <f t="shared" ref="G49:G59" si="39">M49*K49/L49</f>
        <v>0.10882129957951561</v>
      </c>
      <c r="H49" s="2">
        <f>-0.4-0.67*LOG(J49)</f>
        <v>-0.19830990290513262</v>
      </c>
      <c r="I49" s="2">
        <f t="shared" ref="I49:I59" si="40">0.75-1.27*LOG(J49)</f>
        <v>1.1323080944932562</v>
      </c>
      <c r="J49" s="4">
        <f>(1-$B$10)*EXP(-O49/$B$11)+$B$10*EXP(-O49/$B$12)+EXP(-B$13/O49)</f>
        <v>0.5</v>
      </c>
      <c r="K49" s="8">
        <f>$P$48*101325/760/8.314/O49/1000000</f>
        <v>8.1248496511907627E-4</v>
      </c>
      <c r="L49" s="9">
        <f>B$4*O49^B$5*EXP(-B$6/1.987/O49)</f>
        <v>57198719309897.531</v>
      </c>
      <c r="M49" s="6">
        <f t="shared" ref="M49:M59" si="41">$B$7*O49^$B$8*EXP(-$B$9/1.987/O49)</f>
        <v>7660989725114164</v>
      </c>
      <c r="N49" s="2">
        <f t="shared" ref="N49:N59" si="42">10000/O49</f>
        <v>33.333333333333336</v>
      </c>
      <c r="O49" s="12">
        <v>300</v>
      </c>
      <c r="P49" s="13"/>
      <c r="Q49" s="6">
        <f t="shared" ref="Q49:Q58" si="43">L49/(1+L49/M49/K49)*D49</f>
        <v>3823246753619.207</v>
      </c>
      <c r="R49" s="6"/>
      <c r="S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4:44" ht="15.75">
      <c r="D50" s="2">
        <f t="shared" si="36"/>
        <v>0.72596682507387489</v>
      </c>
      <c r="E50" s="2">
        <f t="shared" si="37"/>
        <v>-0.13908322505272566</v>
      </c>
      <c r="F50" s="2">
        <f t="shared" si="38"/>
        <v>-1.4392666001270102</v>
      </c>
      <c r="G50" s="6">
        <f t="shared" si="39"/>
        <v>5.7417370925575424E-2</v>
      </c>
      <c r="H50" s="2">
        <f t="shared" ref="H50:H59" si="44">-0.4-0.67*LOG(J50)</f>
        <v>-0.19830990290513262</v>
      </c>
      <c r="I50" s="2">
        <f t="shared" si="40"/>
        <v>1.1323080944932562</v>
      </c>
      <c r="J50" s="4">
        <f t="shared" ref="J50:J61" si="45">(1-$B$10)*EXP(-O50/$B$11)+$B$10*EXP(-O50/$B$12)+EXP(-B$13/O50)</f>
        <v>0.5</v>
      </c>
      <c r="K50" s="8">
        <f t="shared" ref="K50:K61" si="46">$P$48*101325/760/8.314/O50/1000000</f>
        <v>6.093637238393072E-4</v>
      </c>
      <c r="L50" s="9">
        <f t="shared" ref="L50:L61" si="47">B$4*O50^B$5*EXP(-B$6/1.987/O50)</f>
        <v>64917135642202.219</v>
      </c>
      <c r="M50" s="6">
        <f t="shared" si="41"/>
        <v>6116824994290516</v>
      </c>
      <c r="N50" s="2">
        <f t="shared" si="42"/>
        <v>25</v>
      </c>
      <c r="O50" s="12">
        <v>400</v>
      </c>
      <c r="P50" s="13"/>
      <c r="Q50" s="6">
        <f t="shared" si="43"/>
        <v>2559015911241.1416</v>
      </c>
      <c r="R50" s="6"/>
      <c r="S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4:44" ht="15.75">
      <c r="D51" s="2">
        <f t="shared" si="36"/>
        <v>0.75743463847244885</v>
      </c>
      <c r="E51" s="2">
        <f t="shared" si="37"/>
        <v>-0.12065483790879422</v>
      </c>
      <c r="F51" s="2">
        <f t="shared" si="38"/>
        <v>-1.670392470179257</v>
      </c>
      <c r="G51" s="6">
        <f t="shared" si="39"/>
        <v>3.3722319030666706E-2</v>
      </c>
      <c r="H51" s="2">
        <f t="shared" si="44"/>
        <v>-0.19830990290513262</v>
      </c>
      <c r="I51" s="2">
        <f t="shared" si="40"/>
        <v>1.1323080944932562</v>
      </c>
      <c r="J51" s="4">
        <f t="shared" si="45"/>
        <v>0.5</v>
      </c>
      <c r="K51" s="8">
        <f t="shared" si="46"/>
        <v>4.8749097907144575E-4</v>
      </c>
      <c r="L51" s="9">
        <f t="shared" si="47"/>
        <v>71614300587921.641</v>
      </c>
      <c r="M51" s="6">
        <f t="shared" si="41"/>
        <v>4953938421966200</v>
      </c>
      <c r="N51" s="2">
        <f t="shared" si="42"/>
        <v>20</v>
      </c>
      <c r="O51" s="12">
        <v>500</v>
      </c>
      <c r="P51" s="13"/>
      <c r="Q51" s="6">
        <f t="shared" si="43"/>
        <v>1769532145230.2766</v>
      </c>
      <c r="R51" s="6"/>
      <c r="S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4:44" ht="15.75">
      <c r="D52" s="2">
        <f t="shared" si="36"/>
        <v>0.78036812090784879</v>
      </c>
      <c r="E52" s="2">
        <f t="shared" si="37"/>
        <v>-0.10770048043153957</v>
      </c>
      <c r="F52" s="2">
        <f t="shared" si="38"/>
        <v>-1.8673256214316467</v>
      </c>
      <c r="G52" s="6">
        <f t="shared" si="39"/>
        <v>2.1428130443594009E-2</v>
      </c>
      <c r="H52" s="2">
        <f t="shared" si="44"/>
        <v>-0.19830990290513262</v>
      </c>
      <c r="I52" s="2">
        <f t="shared" si="40"/>
        <v>1.1323080944932562</v>
      </c>
      <c r="J52" s="4">
        <f t="shared" si="45"/>
        <v>0.5</v>
      </c>
      <c r="K52" s="8">
        <f t="shared" si="46"/>
        <v>4.0624248255953814E-4</v>
      </c>
      <c r="L52" s="9">
        <f t="shared" si="47"/>
        <v>77596030140271.719</v>
      </c>
      <c r="M52" s="6">
        <f t="shared" si="41"/>
        <v>4092968921602400</v>
      </c>
      <c r="N52" s="2">
        <f t="shared" si="42"/>
        <v>16.666666666666668</v>
      </c>
      <c r="O52" s="12">
        <v>600</v>
      </c>
      <c r="P52" s="13"/>
      <c r="Q52" s="6">
        <f t="shared" si="43"/>
        <v>1270326885838.8342</v>
      </c>
      <c r="R52" s="6"/>
      <c r="S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4:44" ht="15.75">
      <c r="D53" s="2">
        <f t="shared" si="36"/>
        <v>0.79775183363136493</v>
      </c>
      <c r="E53" s="2">
        <f t="shared" si="37"/>
        <v>-9.8132188908104781E-2</v>
      </c>
      <c r="F53" s="2">
        <f t="shared" si="38"/>
        <v>-2.038535102854488</v>
      </c>
      <c r="G53" s="6">
        <f t="shared" si="39"/>
        <v>1.444690443744929E-2</v>
      </c>
      <c r="H53" s="2">
        <f t="shared" si="44"/>
        <v>-0.19830990290513262</v>
      </c>
      <c r="I53" s="2">
        <f t="shared" si="40"/>
        <v>1.1323080944932562</v>
      </c>
      <c r="J53" s="4">
        <f t="shared" si="45"/>
        <v>0.5</v>
      </c>
      <c r="K53" s="8">
        <f t="shared" si="46"/>
        <v>3.4820784219388978E-4</v>
      </c>
      <c r="L53" s="9">
        <f t="shared" si="47"/>
        <v>83041673073623.266</v>
      </c>
      <c r="M53" s="6">
        <f t="shared" si="41"/>
        <v>3445342033831980</v>
      </c>
      <c r="N53" s="2">
        <f t="shared" si="42"/>
        <v>14.285714285714286</v>
      </c>
      <c r="O53" s="12">
        <v>700</v>
      </c>
      <c r="P53" s="13"/>
      <c r="Q53" s="6">
        <f t="shared" si="43"/>
        <v>943429344383.97778</v>
      </c>
      <c r="R53" s="6"/>
      <c r="S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4:44" ht="15.75">
      <c r="D54" s="2">
        <f t="shared" si="36"/>
        <v>0.81137753079036168</v>
      </c>
      <c r="E54" s="2">
        <f t="shared" si="37"/>
        <v>-9.0777023238635485E-2</v>
      </c>
      <c r="F54" s="2">
        <f t="shared" si="38"/>
        <v>-2.1898208669005159</v>
      </c>
      <c r="G54" s="6">
        <f t="shared" si="39"/>
        <v>1.0197390158654637E-2</v>
      </c>
      <c r="H54" s="2">
        <f t="shared" si="44"/>
        <v>-0.19830990290513262</v>
      </c>
      <c r="I54" s="2">
        <f t="shared" si="40"/>
        <v>1.1323080944932562</v>
      </c>
      <c r="J54" s="4">
        <f t="shared" si="45"/>
        <v>0.5</v>
      </c>
      <c r="K54" s="8">
        <f t="shared" si="46"/>
        <v>3.046818619196536E-4</v>
      </c>
      <c r="L54" s="9">
        <f t="shared" si="47"/>
        <v>88066867137719.016</v>
      </c>
      <c r="M54" s="6">
        <f t="shared" si="41"/>
        <v>2947507930388527.5</v>
      </c>
      <c r="N54" s="2">
        <f t="shared" si="42"/>
        <v>12.5</v>
      </c>
      <c r="O54" s="12">
        <v>800</v>
      </c>
      <c r="P54" s="13"/>
      <c r="Q54" s="20">
        <f t="shared" si="43"/>
        <v>721303962083.87317</v>
      </c>
      <c r="R54" s="20"/>
      <c r="S54" s="6"/>
    </row>
    <row r="55" spans="4:44" ht="15.75">
      <c r="D55" s="2">
        <f t="shared" si="36"/>
        <v>0.82235638235792885</v>
      </c>
      <c r="E55" s="2">
        <f t="shared" si="37"/>
        <v>-8.493993264308497E-2</v>
      </c>
      <c r="F55" s="2">
        <f t="shared" si="38"/>
        <v>-2.3252677361759728</v>
      </c>
      <c r="G55" s="6">
        <f t="shared" si="39"/>
        <v>7.4652123649117559E-3</v>
      </c>
      <c r="H55" s="2">
        <f t="shared" si="44"/>
        <v>-0.19830990290513262</v>
      </c>
      <c r="I55" s="2">
        <f t="shared" si="40"/>
        <v>1.1323080944932562</v>
      </c>
      <c r="J55" s="4">
        <f t="shared" si="45"/>
        <v>0.5</v>
      </c>
      <c r="K55" s="8">
        <f t="shared" si="46"/>
        <v>2.7082832170635874E-4</v>
      </c>
      <c r="L55" s="9">
        <f t="shared" si="47"/>
        <v>92751225604224.75</v>
      </c>
      <c r="M55" s="6">
        <f t="shared" si="41"/>
        <v>2556629202879713</v>
      </c>
      <c r="N55" s="2">
        <f t="shared" si="42"/>
        <v>11.111111111111111</v>
      </c>
      <c r="O55" s="12">
        <v>900</v>
      </c>
      <c r="P55" s="13"/>
      <c r="Q55" s="20">
        <f t="shared" si="43"/>
        <v>565186568204.76526</v>
      </c>
      <c r="R55" s="20"/>
      <c r="S55" s="6"/>
    </row>
    <row r="56" spans="4:44" ht="15.75">
      <c r="D56" s="2">
        <f t="shared" si="36"/>
        <v>0.83140555180126119</v>
      </c>
      <c r="E56" s="2">
        <f t="shared" si="37"/>
        <v>-8.0187079771345912E-2</v>
      </c>
      <c r="F56" s="2">
        <f t="shared" si="38"/>
        <v>-2.4478415210484821</v>
      </c>
      <c r="G56" s="6">
        <f t="shared" si="39"/>
        <v>5.629481313274151E-3</v>
      </c>
      <c r="H56" s="2">
        <f t="shared" si="44"/>
        <v>-0.19830990290513262</v>
      </c>
      <c r="I56" s="2">
        <f t="shared" si="40"/>
        <v>1.1323080944932562</v>
      </c>
      <c r="J56" s="4">
        <f t="shared" si="45"/>
        <v>0.5</v>
      </c>
      <c r="K56" s="8">
        <f t="shared" si="46"/>
        <v>2.4374548953572288E-4</v>
      </c>
      <c r="L56" s="9">
        <f t="shared" si="47"/>
        <v>97152270084712.828</v>
      </c>
      <c r="M56" s="6">
        <f t="shared" si="41"/>
        <v>2243803116216840.3</v>
      </c>
      <c r="N56" s="2">
        <f t="shared" si="42"/>
        <v>10</v>
      </c>
      <c r="O56" s="12">
        <v>1000</v>
      </c>
      <c r="P56" s="13"/>
      <c r="Q56" s="6">
        <f t="shared" si="43"/>
        <v>452164287468.38348</v>
      </c>
      <c r="R56" s="6"/>
    </row>
    <row r="57" spans="4:44" ht="15.75">
      <c r="D57" s="2">
        <f t="shared" si="36"/>
        <v>0.83900577358635864</v>
      </c>
      <c r="E57" s="2">
        <f t="shared" si="37"/>
        <v>-7.6235050580037572E-2</v>
      </c>
      <c r="F57" s="2">
        <f t="shared" si="38"/>
        <v>-2.5597560939243107</v>
      </c>
      <c r="G57" s="6">
        <f t="shared" si="39"/>
        <v>4.3506466169737487E-3</v>
      </c>
      <c r="H57" s="2">
        <f t="shared" si="44"/>
        <v>-0.19830990290513262</v>
      </c>
      <c r="I57" s="2">
        <f t="shared" si="40"/>
        <v>1.1323080944932562</v>
      </c>
      <c r="J57" s="4">
        <f t="shared" si="45"/>
        <v>0.5</v>
      </c>
      <c r="K57" s="8">
        <f t="shared" si="46"/>
        <v>2.2158680866883899E-4</v>
      </c>
      <c r="L57" s="9">
        <f t="shared" si="47"/>
        <v>101313130365237.22</v>
      </c>
      <c r="M57" s="6">
        <f t="shared" si="41"/>
        <v>1989187129533874.5</v>
      </c>
      <c r="N57" s="2">
        <f t="shared" si="42"/>
        <v>9.0909090909090917</v>
      </c>
      <c r="O57" s="12">
        <v>1100</v>
      </c>
      <c r="P57" s="13"/>
      <c r="Q57" s="6">
        <f t="shared" si="43"/>
        <v>368213009971.6355</v>
      </c>
      <c r="R57" s="6"/>
    </row>
    <row r="58" spans="4:44" ht="15.75">
      <c r="D58" s="2">
        <f t="shared" si="36"/>
        <v>0.84549034888703067</v>
      </c>
      <c r="E58" s="2">
        <f t="shared" si="37"/>
        <v>-7.2891345427598231E-2</v>
      </c>
      <c r="F58" s="2">
        <f t="shared" si="38"/>
        <v>-2.662704528364686</v>
      </c>
      <c r="G58" s="6">
        <f t="shared" si="39"/>
        <v>3.4324591276958267E-3</v>
      </c>
      <c r="H58" s="2">
        <f t="shared" si="44"/>
        <v>-0.19830990290513262</v>
      </c>
      <c r="I58" s="2">
        <f t="shared" si="40"/>
        <v>1.1323080944932562</v>
      </c>
      <c r="J58" s="4">
        <f t="shared" si="45"/>
        <v>0.5</v>
      </c>
      <c r="K58" s="8">
        <f t="shared" si="46"/>
        <v>2.0312124127976907E-4</v>
      </c>
      <c r="L58" s="9">
        <f t="shared" si="47"/>
        <v>105267110281052.58</v>
      </c>
      <c r="M58" s="6">
        <f t="shared" si="41"/>
        <v>1778863949697368.2</v>
      </c>
      <c r="N58" s="2">
        <f t="shared" si="42"/>
        <v>8.3333333333333339</v>
      </c>
      <c r="O58" s="12">
        <v>1200</v>
      </c>
      <c r="P58" s="13"/>
      <c r="Q58" s="6">
        <f t="shared" si="43"/>
        <v>304451827118.07581</v>
      </c>
      <c r="R58" s="6"/>
    </row>
    <row r="59" spans="4:44" ht="15.75">
      <c r="D59" s="2">
        <f t="shared" si="36"/>
        <v>0.85109727052658013</v>
      </c>
      <c r="E59" s="2">
        <f t="shared" si="37"/>
        <v>-7.0020802266938062E-2</v>
      </c>
      <c r="F59" s="2">
        <f t="shared" si="38"/>
        <v>-2.7580090222806866</v>
      </c>
      <c r="G59" s="6">
        <f t="shared" si="39"/>
        <v>2.756137503044211E-3</v>
      </c>
      <c r="H59" s="2">
        <f t="shared" si="44"/>
        <v>-0.19830990290513262</v>
      </c>
      <c r="I59" s="2">
        <f t="shared" si="40"/>
        <v>1.1323080944932562</v>
      </c>
      <c r="J59" s="4">
        <f t="shared" si="45"/>
        <v>0.5</v>
      </c>
      <c r="K59" s="8">
        <f t="shared" si="46"/>
        <v>1.8749653041209453E-4</v>
      </c>
      <c r="L59" s="9">
        <f t="shared" si="47"/>
        <v>109040548617475.11</v>
      </c>
      <c r="M59" s="6">
        <f t="shared" si="41"/>
        <v>1602860302196572.7</v>
      </c>
      <c r="N59" s="2">
        <f t="shared" si="42"/>
        <v>7.6923076923076925</v>
      </c>
      <c r="O59" s="12">
        <v>1300</v>
      </c>
      <c r="P59" s="13"/>
      <c r="Q59" s="6">
        <f>L59/(1+L59/M59/K59)*D59</f>
        <v>255077867440.17499</v>
      </c>
      <c r="R59" s="6"/>
    </row>
    <row r="60" spans="4:44" ht="15.75">
      <c r="D60" s="2">
        <f>10^E60</f>
        <v>0.86033183415864656</v>
      </c>
      <c r="E60" s="2">
        <f>LOG(J60)/(1+(F60/(I60-0.14*F60))^2)</f>
        <v>-6.5334006956724769E-2</v>
      </c>
      <c r="F60" s="2">
        <f>LOG(G60)+H60</f>
        <v>-2.9296901105445587</v>
      </c>
      <c r="G60" s="6">
        <f>M60*K60/L60</f>
        <v>1.8561787325125738E-3</v>
      </c>
      <c r="H60" s="2">
        <f>-0.4-0.67*LOG(J60)</f>
        <v>-0.19830990290513262</v>
      </c>
      <c r="I60" s="2">
        <f>0.75-1.27*LOG(J60)</f>
        <v>1.1323080944932562</v>
      </c>
      <c r="J60" s="4">
        <f t="shared" si="45"/>
        <v>0.5</v>
      </c>
      <c r="K60" s="8">
        <f t="shared" si="46"/>
        <v>1.6249699302381526E-4</v>
      </c>
      <c r="L60" s="9">
        <f t="shared" si="47"/>
        <v>116126973303923.45</v>
      </c>
      <c r="M60" s="6">
        <f>$B$7*O60^$B$8*EXP(-$B$9/1.987/O60)</f>
        <v>1326500965382215.7</v>
      </c>
      <c r="N60" s="2">
        <f>10000/O60</f>
        <v>6.666666666666667</v>
      </c>
      <c r="O60" s="12">
        <v>1500</v>
      </c>
      <c r="P60" s="13"/>
      <c r="Q60" s="6">
        <f>L60/(1+L60/M60/K60)*D60</f>
        <v>185103022942.10785</v>
      </c>
      <c r="R60" s="6"/>
    </row>
    <row r="61" spans="4:44" ht="15.75">
      <c r="D61" s="2">
        <f>10^E61</f>
        <v>0.87078133463453244</v>
      </c>
      <c r="E61" s="2">
        <f>LOG(J61)/(1+(F61/(I61-0.14*F61))^2)</f>
        <v>-6.0090888716961104E-2</v>
      </c>
      <c r="F61" s="2">
        <f>LOG(G61)+H61</f>
        <v>-3.1505297365487004</v>
      </c>
      <c r="G61" s="6">
        <f>M61*K61/L61</f>
        <v>1.1162980506679021E-3</v>
      </c>
      <c r="H61" s="2">
        <f>-0.4-0.67*LOG(J61)</f>
        <v>-0.19830990290513262</v>
      </c>
      <c r="I61" s="2">
        <f>0.75-1.27*LOG(J61)</f>
        <v>1.1323080944932562</v>
      </c>
      <c r="J61" s="4">
        <f t="shared" si="45"/>
        <v>0.5</v>
      </c>
      <c r="K61" s="8">
        <f t="shared" si="46"/>
        <v>1.3541416085317937E-4</v>
      </c>
      <c r="L61" s="9">
        <f t="shared" si="47"/>
        <v>125826714030766.56</v>
      </c>
      <c r="M61" s="6">
        <f>$B$7*O61^$B$8*EXP(-$B$9/1.987/O61)</f>
        <v>1037263124547099</v>
      </c>
      <c r="N61" s="2">
        <f>10000/O61</f>
        <v>5.5555555555555554</v>
      </c>
      <c r="O61" s="12">
        <v>1800</v>
      </c>
      <c r="P61" s="13"/>
      <c r="Q61" s="6">
        <f>L61/(1+L61/M61/K61)*D61</f>
        <v>122173664696.549</v>
      </c>
      <c r="R61" s="6"/>
    </row>
    <row r="62" spans="4:44">
      <c r="D62" s="2" t="s">
        <v>4</v>
      </c>
      <c r="E62" s="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P62">
        <f>760*5</f>
        <v>3800</v>
      </c>
      <c r="Q62" t="s">
        <v>16</v>
      </c>
      <c r="R62" t="s">
        <v>38</v>
      </c>
    </row>
    <row r="63" spans="4:44" ht="15.75">
      <c r="D63" s="2">
        <f t="shared" ref="D63:D73" si="48">10^E63</f>
        <v>0.76871282573272948</v>
      </c>
      <c r="E63" s="2">
        <f t="shared" ref="E63:E73" si="49">LOG(J63)/(1+(F63/(I63-0.14*F63))^2)</f>
        <v>-0.11423587280287716</v>
      </c>
      <c r="F63" s="2">
        <f t="shared" ref="F63:F73" si="50">LOG(G63)+H63</f>
        <v>-1.7636559861456362</v>
      </c>
      <c r="G63" s="6">
        <f t="shared" ref="G63:G73" si="51">M63*K63/L63</f>
        <v>2.7205324894878903E-2</v>
      </c>
      <c r="H63" s="2">
        <f>-0.4-0.67*LOG(J63)</f>
        <v>-0.19830990290513262</v>
      </c>
      <c r="I63" s="2">
        <f t="shared" ref="I63:I73" si="52">0.75-1.27*LOG(J63)</f>
        <v>1.1323080944932562</v>
      </c>
      <c r="J63" s="4">
        <f>(1-$B$10)*EXP(-O63/$B$11)+$B$10*EXP(-O63/$B$12)+EXP(-B$13/O63)</f>
        <v>0.5</v>
      </c>
      <c r="K63" s="8">
        <f>$P$62*101325/760/8.314/O63/1000000</f>
        <v>2.0312124127976907E-4</v>
      </c>
      <c r="L63" s="9">
        <f>B$4*O63^B$5*EXP(-B$6/1.987/O63)</f>
        <v>57198719309897.531</v>
      </c>
      <c r="M63" s="6">
        <f t="shared" ref="M63:M73" si="53">$B$7*O63^$B$8*EXP(-$B$9/1.987/O63)</f>
        <v>7660989725114164</v>
      </c>
      <c r="N63" s="2">
        <f t="shared" ref="N63:N73" si="54">10000/O63</f>
        <v>33.333333333333336</v>
      </c>
      <c r="O63" s="12">
        <v>300</v>
      </c>
      <c r="P63" s="13"/>
      <c r="Q63" s="20">
        <f t="shared" ref="Q63:Q73" si="55">L63/(1+L63/M63/K63)*D63</f>
        <v>1164520362421.6492</v>
      </c>
      <c r="R63" s="20"/>
      <c r="S63" s="6"/>
    </row>
    <row r="64" spans="4:44" ht="15.75">
      <c r="D64" s="2">
        <f t="shared" si="48"/>
        <v>0.79801731833122036</v>
      </c>
      <c r="E64" s="2">
        <f t="shared" si="49"/>
        <v>-9.7987683619104968E-2</v>
      </c>
      <c r="F64" s="2">
        <f t="shared" si="50"/>
        <v>-2.0413265914549723</v>
      </c>
      <c r="G64" s="6">
        <f t="shared" si="51"/>
        <v>1.4354342731393856E-2</v>
      </c>
      <c r="H64" s="2">
        <f t="shared" ref="H64:H73" si="56">-0.4-0.67*LOG(J64)</f>
        <v>-0.19830990290513262</v>
      </c>
      <c r="I64" s="2">
        <f t="shared" si="52"/>
        <v>1.1323080944932562</v>
      </c>
      <c r="J64" s="4">
        <f t="shared" ref="J64:J75" si="57">(1-$B$10)*EXP(-O64/$B$11)+$B$10*EXP(-O64/$B$12)+EXP(-B$13/O64)</f>
        <v>0.5</v>
      </c>
      <c r="K64" s="8">
        <f t="shared" ref="K64:K75" si="58">$P$62*101325/760/8.314/O64/1000000</f>
        <v>1.523409309598268E-4</v>
      </c>
      <c r="L64" s="9">
        <f t="shared" ref="L64:L75" si="59">B$4*O64^B$5*EXP(-B$6/1.987/O64)</f>
        <v>64917135642202.219</v>
      </c>
      <c r="M64" s="6">
        <f t="shared" si="53"/>
        <v>6116824994290516</v>
      </c>
      <c r="N64" s="2">
        <f t="shared" si="54"/>
        <v>25</v>
      </c>
      <c r="O64" s="12">
        <v>400</v>
      </c>
      <c r="P64" s="13"/>
      <c r="Q64" s="6">
        <f t="shared" si="55"/>
        <v>733103484972.17725</v>
      </c>
      <c r="R64" s="6"/>
    </row>
    <row r="65" spans="4:19" ht="15.75">
      <c r="D65" s="2">
        <f t="shared" si="48"/>
        <v>0.8182037581901308</v>
      </c>
      <c r="E65" s="2">
        <f t="shared" si="49"/>
        <v>-8.7138530022823082E-2</v>
      </c>
      <c r="F65" s="2">
        <f t="shared" si="50"/>
        <v>-2.272452461507219</v>
      </c>
      <c r="G65" s="6">
        <f t="shared" si="51"/>
        <v>8.4305797576666765E-3</v>
      </c>
      <c r="H65" s="2">
        <f t="shared" si="56"/>
        <v>-0.19830990290513262</v>
      </c>
      <c r="I65" s="2">
        <f t="shared" si="52"/>
        <v>1.1323080944932562</v>
      </c>
      <c r="J65" s="4">
        <f t="shared" si="57"/>
        <v>0.5</v>
      </c>
      <c r="K65" s="8">
        <f t="shared" si="58"/>
        <v>1.2187274476786144E-4</v>
      </c>
      <c r="L65" s="9">
        <f t="shared" si="59"/>
        <v>71614300587921.641</v>
      </c>
      <c r="M65" s="6">
        <f t="shared" si="53"/>
        <v>4953938421966200</v>
      </c>
      <c r="N65" s="2">
        <f t="shared" si="54"/>
        <v>20</v>
      </c>
      <c r="O65" s="12">
        <v>500</v>
      </c>
      <c r="P65" s="13"/>
      <c r="Q65" s="6">
        <f t="shared" si="55"/>
        <v>489860768373.14191</v>
      </c>
      <c r="R65" s="6"/>
    </row>
    <row r="66" spans="4:19" ht="15.75">
      <c r="D66" s="2">
        <f t="shared" si="48"/>
        <v>0.83291574096930143</v>
      </c>
      <c r="E66" s="2">
        <f t="shared" si="49"/>
        <v>-7.9398930265402248E-2</v>
      </c>
      <c r="F66" s="2">
        <f t="shared" si="50"/>
        <v>-2.4693856127596092</v>
      </c>
      <c r="G66" s="6">
        <f t="shared" si="51"/>
        <v>5.3570326108985022E-3</v>
      </c>
      <c r="H66" s="2">
        <f t="shared" si="56"/>
        <v>-0.19830990290513262</v>
      </c>
      <c r="I66" s="2">
        <f t="shared" si="52"/>
        <v>1.1323080944932562</v>
      </c>
      <c r="J66" s="4">
        <f t="shared" si="57"/>
        <v>0.5</v>
      </c>
      <c r="K66" s="8">
        <f t="shared" si="58"/>
        <v>1.0156062063988453E-4</v>
      </c>
      <c r="L66" s="9">
        <f t="shared" si="59"/>
        <v>77596030140271.719</v>
      </c>
      <c r="M66" s="6">
        <f t="shared" si="53"/>
        <v>4092968921602400</v>
      </c>
      <c r="N66" s="2">
        <f t="shared" si="54"/>
        <v>16.666666666666668</v>
      </c>
      <c r="O66" s="12">
        <v>600</v>
      </c>
      <c r="P66" s="13"/>
      <c r="Q66" s="6">
        <f t="shared" si="55"/>
        <v>344385250273.66663</v>
      </c>
      <c r="R66" s="6"/>
    </row>
    <row r="67" spans="4:19" ht="15.75">
      <c r="D67" s="2">
        <f t="shared" si="48"/>
        <v>0.84413644118295283</v>
      </c>
      <c r="E67" s="2">
        <f t="shared" si="49"/>
        <v>-7.3587350929158399E-2</v>
      </c>
      <c r="F67" s="2">
        <f t="shared" si="50"/>
        <v>-2.6405950941824501</v>
      </c>
      <c r="G67" s="6">
        <f t="shared" si="51"/>
        <v>3.6117261093623226E-3</v>
      </c>
      <c r="H67" s="2">
        <f t="shared" si="56"/>
        <v>-0.19830990290513262</v>
      </c>
      <c r="I67" s="2">
        <f t="shared" si="52"/>
        <v>1.1323080944932562</v>
      </c>
      <c r="J67" s="4">
        <f t="shared" si="57"/>
        <v>0.5</v>
      </c>
      <c r="K67" s="8">
        <f t="shared" si="58"/>
        <v>8.7051960548472444E-5</v>
      </c>
      <c r="L67" s="9">
        <f t="shared" si="59"/>
        <v>83041673073623.266</v>
      </c>
      <c r="M67" s="6">
        <f t="shared" si="53"/>
        <v>3445342033831980</v>
      </c>
      <c r="N67" s="2">
        <f t="shared" si="54"/>
        <v>14.285714285714286</v>
      </c>
      <c r="O67" s="12">
        <v>700</v>
      </c>
      <c r="P67" s="13"/>
      <c r="Q67" s="6">
        <f t="shared" si="55"/>
        <v>252265477455.29404</v>
      </c>
      <c r="R67" s="6"/>
    </row>
    <row r="68" spans="4:19" ht="15.75">
      <c r="D68" s="2">
        <f t="shared" si="48"/>
        <v>0.8530041524069345</v>
      </c>
      <c r="E68" s="2">
        <f t="shared" si="49"/>
        <v>-6.9048854690590813E-2</v>
      </c>
      <c r="F68" s="2">
        <f t="shared" si="50"/>
        <v>-2.791880858228478</v>
      </c>
      <c r="G68" s="6">
        <f t="shared" si="51"/>
        <v>2.5493475396636592E-3</v>
      </c>
      <c r="H68" s="2">
        <f t="shared" si="56"/>
        <v>-0.19830990290513262</v>
      </c>
      <c r="I68" s="2">
        <f t="shared" si="52"/>
        <v>1.1323080944932562</v>
      </c>
      <c r="J68" s="4">
        <f t="shared" si="57"/>
        <v>0.5</v>
      </c>
      <c r="K68" s="8">
        <f t="shared" si="58"/>
        <v>7.6170465479913401E-5</v>
      </c>
      <c r="L68" s="9">
        <f t="shared" si="59"/>
        <v>88066867137719.016</v>
      </c>
      <c r="M68" s="6">
        <f t="shared" si="53"/>
        <v>2947507930388527.5</v>
      </c>
      <c r="N68" s="2">
        <f t="shared" si="54"/>
        <v>12.5</v>
      </c>
      <c r="O68" s="12">
        <v>800</v>
      </c>
      <c r="P68" s="13"/>
      <c r="Q68" s="6">
        <f t="shared" si="55"/>
        <v>191023579334.66162</v>
      </c>
      <c r="R68" s="6"/>
    </row>
    <row r="69" spans="4:19" ht="15.75">
      <c r="D69" s="2">
        <f t="shared" si="48"/>
        <v>0.86021177138956717</v>
      </c>
      <c r="E69" s="2">
        <f t="shared" si="49"/>
        <v>-6.5394618728503953E-2</v>
      </c>
      <c r="F69" s="2">
        <f t="shared" si="50"/>
        <v>-2.9273277275039353</v>
      </c>
      <c r="G69" s="6">
        <f t="shared" si="51"/>
        <v>1.866303091227939E-3</v>
      </c>
      <c r="H69" s="2">
        <f t="shared" si="56"/>
        <v>-0.19830990290513262</v>
      </c>
      <c r="I69" s="2">
        <f t="shared" si="52"/>
        <v>1.1323080944932562</v>
      </c>
      <c r="J69" s="4">
        <f t="shared" si="57"/>
        <v>0.5</v>
      </c>
      <c r="K69" s="8">
        <f t="shared" si="58"/>
        <v>6.7707080426589685E-5</v>
      </c>
      <c r="L69" s="9">
        <f t="shared" si="59"/>
        <v>92751225604224.75</v>
      </c>
      <c r="M69" s="6">
        <f t="shared" si="53"/>
        <v>2556629202879713</v>
      </c>
      <c r="N69" s="2">
        <f t="shared" si="54"/>
        <v>11.111111111111111</v>
      </c>
      <c r="O69" s="12">
        <v>900</v>
      </c>
      <c r="P69" s="13"/>
      <c r="Q69" s="6">
        <f t="shared" si="55"/>
        <v>148626908363.07944</v>
      </c>
      <c r="R69" s="6"/>
    </row>
    <row r="70" spans="4:19" ht="15.75">
      <c r="D70" s="2">
        <f t="shared" si="48"/>
        <v>0.86620349132316765</v>
      </c>
      <c r="E70" s="2">
        <f t="shared" si="49"/>
        <v>-6.2380070133617599E-2</v>
      </c>
      <c r="F70" s="2">
        <f t="shared" si="50"/>
        <v>-3.0499015123764441</v>
      </c>
      <c r="G70" s="6">
        <f t="shared" si="51"/>
        <v>1.4073703283185377E-3</v>
      </c>
      <c r="H70" s="2">
        <f t="shared" si="56"/>
        <v>-0.19830990290513262</v>
      </c>
      <c r="I70" s="2">
        <f t="shared" si="52"/>
        <v>1.1323080944932562</v>
      </c>
      <c r="J70" s="4">
        <f t="shared" si="57"/>
        <v>0.5</v>
      </c>
      <c r="K70" s="8">
        <f t="shared" si="58"/>
        <v>6.0936372383930719E-5</v>
      </c>
      <c r="L70" s="9">
        <f t="shared" si="59"/>
        <v>97152270084712.828</v>
      </c>
      <c r="M70" s="6">
        <f t="shared" si="53"/>
        <v>2243803116216840.3</v>
      </c>
      <c r="N70" s="2">
        <f t="shared" si="54"/>
        <v>10</v>
      </c>
      <c r="O70" s="12">
        <v>1000</v>
      </c>
      <c r="P70" s="13"/>
      <c r="Q70" s="6">
        <f t="shared" si="55"/>
        <v>118268881560.72627</v>
      </c>
      <c r="R70" s="6"/>
    </row>
    <row r="71" spans="4:19" ht="15.75">
      <c r="D71" s="2">
        <f t="shared" si="48"/>
        <v>0.8712768060159507</v>
      </c>
      <c r="E71" s="2">
        <f t="shared" si="49"/>
        <v>-5.9843847027970451E-2</v>
      </c>
      <c r="F71" s="2">
        <f t="shared" si="50"/>
        <v>-3.1618160852522728</v>
      </c>
      <c r="G71" s="6">
        <f t="shared" si="51"/>
        <v>1.0876616542434372E-3</v>
      </c>
      <c r="H71" s="2">
        <f t="shared" si="56"/>
        <v>-0.19830990290513262</v>
      </c>
      <c r="I71" s="2">
        <f t="shared" si="52"/>
        <v>1.1323080944932562</v>
      </c>
      <c r="J71" s="4">
        <f t="shared" si="57"/>
        <v>0.5</v>
      </c>
      <c r="K71" s="8">
        <f t="shared" si="58"/>
        <v>5.5396702167209748E-5</v>
      </c>
      <c r="L71" s="9">
        <f t="shared" si="59"/>
        <v>101313130365237.22</v>
      </c>
      <c r="M71" s="6">
        <f t="shared" si="53"/>
        <v>1989187129533874.5</v>
      </c>
      <c r="N71" s="2">
        <f t="shared" si="54"/>
        <v>9.0909090909090917</v>
      </c>
      <c r="O71" s="12">
        <v>1100</v>
      </c>
      <c r="P71" s="13"/>
      <c r="Q71" s="6">
        <f t="shared" si="55"/>
        <v>95905518190.758896</v>
      </c>
      <c r="R71" s="6"/>
    </row>
    <row r="72" spans="4:19" ht="15.75">
      <c r="D72" s="2">
        <f t="shared" si="48"/>
        <v>0.87563842409751369</v>
      </c>
      <c r="E72" s="2">
        <f t="shared" si="49"/>
        <v>-5.7675189306726223E-2</v>
      </c>
      <c r="F72" s="2">
        <f t="shared" si="50"/>
        <v>-3.2647645196926485</v>
      </c>
      <c r="G72" s="6">
        <f t="shared" si="51"/>
        <v>8.5811478192395667E-4</v>
      </c>
      <c r="H72" s="2">
        <f t="shared" si="56"/>
        <v>-0.19830990290513262</v>
      </c>
      <c r="I72" s="2">
        <f t="shared" si="52"/>
        <v>1.1323080944932562</v>
      </c>
      <c r="J72" s="4">
        <f t="shared" si="57"/>
        <v>0.5</v>
      </c>
      <c r="K72" s="8">
        <f t="shared" si="58"/>
        <v>5.0780310319942267E-5</v>
      </c>
      <c r="L72" s="9">
        <f t="shared" si="59"/>
        <v>105267110281052.58</v>
      </c>
      <c r="M72" s="6">
        <f t="shared" si="53"/>
        <v>1778863949697368.2</v>
      </c>
      <c r="N72" s="2">
        <f t="shared" si="54"/>
        <v>8.3333333333333339</v>
      </c>
      <c r="O72" s="12">
        <v>1200</v>
      </c>
      <c r="P72" s="13"/>
      <c r="Q72" s="6">
        <f t="shared" si="55"/>
        <v>79029708553.947739</v>
      </c>
      <c r="R72" s="6"/>
    </row>
    <row r="73" spans="4:19" ht="15.75">
      <c r="D73" s="2">
        <f t="shared" si="48"/>
        <v>0.87943650864788758</v>
      </c>
      <c r="E73" s="2">
        <f t="shared" si="49"/>
        <v>-5.5795509178895454E-2</v>
      </c>
      <c r="F73" s="2">
        <f t="shared" si="50"/>
        <v>-3.3600690136086491</v>
      </c>
      <c r="G73" s="6">
        <f t="shared" si="51"/>
        <v>6.8903437576105274E-4</v>
      </c>
      <c r="H73" s="2">
        <f t="shared" si="56"/>
        <v>-0.19830990290513262</v>
      </c>
      <c r="I73" s="2">
        <f t="shared" si="52"/>
        <v>1.1323080944932562</v>
      </c>
      <c r="J73" s="4">
        <f t="shared" si="57"/>
        <v>0.5</v>
      </c>
      <c r="K73" s="8">
        <f t="shared" si="58"/>
        <v>4.6874132603023633E-5</v>
      </c>
      <c r="L73" s="9">
        <f t="shared" si="59"/>
        <v>109040548617475.11</v>
      </c>
      <c r="M73" s="6">
        <f t="shared" si="53"/>
        <v>1602860302196572.7</v>
      </c>
      <c r="N73" s="2">
        <f t="shared" si="54"/>
        <v>7.6923076923076925</v>
      </c>
      <c r="O73" s="12">
        <v>1300</v>
      </c>
      <c r="P73" s="13"/>
      <c r="Q73" s="6">
        <f t="shared" si="55"/>
        <v>66028931164.984306</v>
      </c>
      <c r="R73" s="6"/>
    </row>
    <row r="74" spans="4:19" ht="15.75">
      <c r="D74" s="2">
        <f>10^E74</f>
        <v>0.88575134139623735</v>
      </c>
      <c r="E74" s="2">
        <f>LOG(J74)/(1+(F74/(I74-0.14*F74))^2)</f>
        <v>-5.2688181291660301E-2</v>
      </c>
      <c r="F74" s="2">
        <f>LOG(G74)+H74</f>
        <v>-3.5317501018725213</v>
      </c>
      <c r="G74" s="6">
        <f>M74*K74/L74</f>
        <v>4.6404468312814345E-4</v>
      </c>
      <c r="H74" s="2">
        <f>-0.4-0.67*LOG(J74)</f>
        <v>-0.19830990290513262</v>
      </c>
      <c r="I74" s="2">
        <f>0.75-1.27*LOG(J74)</f>
        <v>1.1323080944932562</v>
      </c>
      <c r="J74" s="4">
        <f t="shared" si="57"/>
        <v>0.5</v>
      </c>
      <c r="K74" s="8">
        <f t="shared" si="58"/>
        <v>4.0624248255953815E-5</v>
      </c>
      <c r="L74" s="9">
        <f t="shared" si="59"/>
        <v>116126973303923.45</v>
      </c>
      <c r="M74" s="6">
        <f>$B$7*O74^$B$8*EXP(-$B$9/1.987/O74)</f>
        <v>1326500965382215.7</v>
      </c>
      <c r="N74" s="2">
        <f>10000/O74</f>
        <v>6.666666666666667</v>
      </c>
      <c r="O74" s="12">
        <v>1500</v>
      </c>
      <c r="P74" s="13"/>
      <c r="Q74" s="6">
        <f>L74/(1+L74/M74/K74)*D74</f>
        <v>47709321615.229378</v>
      </c>
      <c r="R74" s="6"/>
    </row>
    <row r="75" spans="4:19" ht="15.75">
      <c r="D75" s="2">
        <f>10^E75</f>
        <v>0.89299612719776</v>
      </c>
      <c r="E75" s="2">
        <f>LOG(J75)/(1+(F75/(I75-0.14*F75))^2)</f>
        <v>-4.9150424583222316E-2</v>
      </c>
      <c r="F75" s="2">
        <f>LOG(G75)+H75</f>
        <v>-3.7525897278766629</v>
      </c>
      <c r="G75" s="6">
        <f>M75*K75/L75</f>
        <v>2.7907451266697553E-4</v>
      </c>
      <c r="H75" s="2">
        <f>-0.4-0.67*LOG(J75)</f>
        <v>-0.19830990290513262</v>
      </c>
      <c r="I75" s="2">
        <f>0.75-1.27*LOG(J75)</f>
        <v>1.1323080944932562</v>
      </c>
      <c r="J75" s="4">
        <f t="shared" si="57"/>
        <v>0.5</v>
      </c>
      <c r="K75" s="8">
        <f t="shared" si="58"/>
        <v>3.3853540213294842E-5</v>
      </c>
      <c r="L75" s="9">
        <f t="shared" si="59"/>
        <v>125826714030766.56</v>
      </c>
      <c r="M75" s="6">
        <f>$B$7*O75^$B$8*EXP(-$B$9/1.987/O75)</f>
        <v>1037263124547099</v>
      </c>
      <c r="N75" s="2">
        <f>10000/O75</f>
        <v>5.5555555555555554</v>
      </c>
      <c r="O75" s="12">
        <v>1800</v>
      </c>
      <c r="P75" s="13"/>
      <c r="Q75" s="6">
        <f>L75/(1+L75/M75/K75)*D75</f>
        <v>31348836151.736107</v>
      </c>
      <c r="R75" s="6"/>
    </row>
    <row r="76" spans="4:19">
      <c r="D76" s="2" t="s">
        <v>4</v>
      </c>
      <c r="E76" s="2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13</v>
      </c>
      <c r="N76" s="2" t="s">
        <v>14</v>
      </c>
      <c r="P76">
        <f>760*10</f>
        <v>7600</v>
      </c>
      <c r="Q76" s="6" t="s">
        <v>16</v>
      </c>
      <c r="R76" t="s">
        <v>39</v>
      </c>
    </row>
    <row r="77" spans="4:19" ht="15.75">
      <c r="D77" s="2">
        <f t="shared" ref="D77:D87" si="60">10^E77</f>
        <v>0.72938586884386236</v>
      </c>
      <c r="E77" s="2">
        <f t="shared" ref="E77:E87" si="61">LOG(J77)/(1+(F77/(I77-0.14*F77))^2)</f>
        <v>-0.13704265498245569</v>
      </c>
      <c r="F77" s="2">
        <f t="shared" ref="F77:F87" si="62">LOG(G77)+H77</f>
        <v>-1.462625990481655</v>
      </c>
      <c r="G77" s="6">
        <f t="shared" ref="G77:G87" si="63">M77*K77/L77</f>
        <v>5.4410649789757806E-2</v>
      </c>
      <c r="H77" s="2">
        <f>-0.4-0.67*LOG(J77)</f>
        <v>-0.19830990290513262</v>
      </c>
      <c r="I77" s="2">
        <f t="shared" ref="I77:I87" si="64">0.75-1.27*LOG(J77)</f>
        <v>1.1323080944932562</v>
      </c>
      <c r="J77" s="4">
        <f>(1-$B$10)*EXP(-O77/$B$11)+$B$10*EXP(-O77/$B$12)+EXP(-B$13/O77)</f>
        <v>0.5</v>
      </c>
      <c r="K77" s="8">
        <f>$P$76*101325/760/8.314/O77/1000000</f>
        <v>4.0624248255953814E-4</v>
      </c>
      <c r="L77" s="9">
        <f>B$4*O77^B$5*EXP(-B$6/1.987/O77)</f>
        <v>57198719309897.531</v>
      </c>
      <c r="M77" s="6">
        <f t="shared" ref="M77:M87" si="65">$B$7*O77^$B$8*EXP(-$B$9/1.987/O77)</f>
        <v>7660989725114164</v>
      </c>
      <c r="N77" s="2">
        <f t="shared" ref="N77:N87" si="66">10000/O77</f>
        <v>33.333333333333336</v>
      </c>
      <c r="O77" s="12">
        <v>300</v>
      </c>
      <c r="P77" s="13"/>
      <c r="Q77" s="6">
        <f t="shared" ref="Q77:Q87" si="67">L77/(1+L77/M77/K77)*D77</f>
        <v>2152869864697.8977</v>
      </c>
      <c r="R77" s="6"/>
    </row>
    <row r="78" spans="4:19" ht="15.75">
      <c r="D78" s="2">
        <f t="shared" si="60"/>
        <v>0.76596046250246619</v>
      </c>
      <c r="E78" s="2">
        <f t="shared" si="61"/>
        <v>-0.11579364728667213</v>
      </c>
      <c r="F78" s="2">
        <f t="shared" si="62"/>
        <v>-1.7402965957909915</v>
      </c>
      <c r="G78" s="6">
        <f t="shared" si="63"/>
        <v>2.8708685462787712E-2</v>
      </c>
      <c r="H78" s="2">
        <f t="shared" ref="H78:H87" si="68">-0.4-0.67*LOG(J78)</f>
        <v>-0.19830990290513262</v>
      </c>
      <c r="I78" s="2">
        <f t="shared" si="64"/>
        <v>1.1323080944932562</v>
      </c>
      <c r="J78" s="4">
        <f t="shared" ref="J78:J89" si="69">(1-$B$10)*EXP(-O78/$B$11)+$B$10*EXP(-O78/$B$12)+EXP(-B$13/O78)</f>
        <v>0.5</v>
      </c>
      <c r="K78" s="8">
        <f t="shared" ref="K78:K89" si="70">$P$76*101325/760/8.314/O78/1000000</f>
        <v>3.046818619196536E-4</v>
      </c>
      <c r="L78" s="9">
        <f t="shared" ref="L78:L89" si="71">B$4*O78^B$5*EXP(-B$6/1.987/O78)</f>
        <v>64917135642202.219</v>
      </c>
      <c r="M78" s="6">
        <f t="shared" si="65"/>
        <v>6116824994290516</v>
      </c>
      <c r="N78" s="2">
        <f t="shared" si="66"/>
        <v>25</v>
      </c>
      <c r="O78" s="12">
        <v>400</v>
      </c>
      <c r="P78" s="13"/>
      <c r="Q78" s="20">
        <f t="shared" si="67"/>
        <v>1387671287296.9041</v>
      </c>
      <c r="R78" s="20"/>
      <c r="S78" s="6"/>
    </row>
    <row r="79" spans="4:19" ht="15.75">
      <c r="D79" s="2">
        <f t="shared" si="60"/>
        <v>0.7912003849679089</v>
      </c>
      <c r="E79" s="2">
        <f t="shared" si="61"/>
        <v>-0.10171351009970681</v>
      </c>
      <c r="F79" s="2">
        <f t="shared" si="62"/>
        <v>-1.9714224658432378</v>
      </c>
      <c r="G79" s="6">
        <f t="shared" si="63"/>
        <v>1.6861159515333353E-2</v>
      </c>
      <c r="H79" s="2">
        <f t="shared" si="68"/>
        <v>-0.19830990290513262</v>
      </c>
      <c r="I79" s="2">
        <f t="shared" si="64"/>
        <v>1.1323080944932562</v>
      </c>
      <c r="J79" s="4">
        <f t="shared" si="69"/>
        <v>0.5</v>
      </c>
      <c r="K79" s="8">
        <f t="shared" si="70"/>
        <v>2.4374548953572288E-4</v>
      </c>
      <c r="L79" s="9">
        <f t="shared" si="71"/>
        <v>71614300587921.641</v>
      </c>
      <c r="M79" s="6">
        <f t="shared" si="65"/>
        <v>4953938421966200</v>
      </c>
      <c r="N79" s="2">
        <f t="shared" si="66"/>
        <v>20</v>
      </c>
      <c r="O79" s="12">
        <v>500</v>
      </c>
      <c r="P79" s="13"/>
      <c r="Q79" s="6">
        <f t="shared" si="67"/>
        <v>939532965006.52979</v>
      </c>
      <c r="R79" s="6"/>
    </row>
    <row r="80" spans="4:19" ht="15.75">
      <c r="D80" s="2">
        <f t="shared" si="60"/>
        <v>0.80953560191523577</v>
      </c>
      <c r="E80" s="2">
        <f t="shared" si="61"/>
        <v>-9.1764047002839785E-2</v>
      </c>
      <c r="F80" s="2">
        <f t="shared" si="62"/>
        <v>-2.168355617095628</v>
      </c>
      <c r="G80" s="6">
        <f t="shared" si="63"/>
        <v>1.0714065221797004E-2</v>
      </c>
      <c r="H80" s="2">
        <f t="shared" si="68"/>
        <v>-0.19830990290513262</v>
      </c>
      <c r="I80" s="2">
        <f t="shared" si="64"/>
        <v>1.1323080944932562</v>
      </c>
      <c r="J80" s="4">
        <f t="shared" si="69"/>
        <v>0.5</v>
      </c>
      <c r="K80" s="8">
        <f t="shared" si="70"/>
        <v>2.0312124127976907E-4</v>
      </c>
      <c r="L80" s="9">
        <f t="shared" si="71"/>
        <v>77596030140271.719</v>
      </c>
      <c r="M80" s="6">
        <f t="shared" si="65"/>
        <v>4092968921602400</v>
      </c>
      <c r="N80" s="2">
        <f t="shared" si="66"/>
        <v>16.666666666666668</v>
      </c>
      <c r="O80" s="12">
        <v>600</v>
      </c>
      <c r="P80" s="13"/>
      <c r="Q80" s="6">
        <f t="shared" si="67"/>
        <v>665888373972.06091</v>
      </c>
      <c r="R80" s="6"/>
      <c r="S80" s="6"/>
    </row>
    <row r="81" spans="4:19" ht="15.75">
      <c r="D81" s="2">
        <f t="shared" si="60"/>
        <v>0.82345345722641827</v>
      </c>
      <c r="E81" s="2">
        <f t="shared" si="61"/>
        <v>-8.4360942749199266E-2</v>
      </c>
      <c r="F81" s="2">
        <f t="shared" si="62"/>
        <v>-2.3395650985184688</v>
      </c>
      <c r="G81" s="6">
        <f t="shared" si="63"/>
        <v>7.2234522187246452E-3</v>
      </c>
      <c r="H81" s="2">
        <f t="shared" si="68"/>
        <v>-0.19830990290513262</v>
      </c>
      <c r="I81" s="2">
        <f t="shared" si="64"/>
        <v>1.1323080944932562</v>
      </c>
      <c r="J81" s="4">
        <f t="shared" si="69"/>
        <v>0.5</v>
      </c>
      <c r="K81" s="8">
        <f t="shared" si="70"/>
        <v>1.7410392109694489E-4</v>
      </c>
      <c r="L81" s="9">
        <f t="shared" si="71"/>
        <v>83041673073623.266</v>
      </c>
      <c r="M81" s="6">
        <f t="shared" si="65"/>
        <v>3445342033831980</v>
      </c>
      <c r="N81" s="2">
        <f t="shared" si="66"/>
        <v>14.285714285714286</v>
      </c>
      <c r="O81" s="12">
        <v>700</v>
      </c>
      <c r="P81" s="13"/>
      <c r="Q81" s="6">
        <f t="shared" si="67"/>
        <v>490404134291.08386</v>
      </c>
      <c r="R81" s="6"/>
    </row>
    <row r="82" spans="4:19" ht="15.75">
      <c r="D82" s="2">
        <f t="shared" si="60"/>
        <v>0.83439762555333585</v>
      </c>
      <c r="E82" s="2">
        <f t="shared" si="61"/>
        <v>-7.8626940452272295E-2</v>
      </c>
      <c r="F82" s="2">
        <f t="shared" si="62"/>
        <v>-2.4908508625644967</v>
      </c>
      <c r="G82" s="6">
        <f t="shared" si="63"/>
        <v>5.0986950793273185E-3</v>
      </c>
      <c r="H82" s="2">
        <f t="shared" si="68"/>
        <v>-0.19830990290513262</v>
      </c>
      <c r="I82" s="2">
        <f t="shared" si="64"/>
        <v>1.1323080944932562</v>
      </c>
      <c r="J82" s="4">
        <f t="shared" si="69"/>
        <v>0.5</v>
      </c>
      <c r="K82" s="8">
        <f t="shared" si="70"/>
        <v>1.523409309598268E-4</v>
      </c>
      <c r="L82" s="9">
        <f t="shared" si="71"/>
        <v>88066867137719.016</v>
      </c>
      <c r="M82" s="6">
        <f t="shared" si="65"/>
        <v>2947507930388527.5</v>
      </c>
      <c r="N82" s="2">
        <f t="shared" si="66"/>
        <v>12.5</v>
      </c>
      <c r="O82" s="12">
        <v>800</v>
      </c>
      <c r="P82" s="13"/>
      <c r="Q82" s="6">
        <f t="shared" si="67"/>
        <v>372765694812.24097</v>
      </c>
      <c r="R82" s="6"/>
    </row>
    <row r="83" spans="4:19" ht="15.75">
      <c r="D83" s="2">
        <f t="shared" si="60"/>
        <v>0.84324985177038225</v>
      </c>
      <c r="E83" s="2">
        <f t="shared" si="61"/>
        <v>-7.4043726480665151E-2</v>
      </c>
      <c r="F83" s="2">
        <f t="shared" si="62"/>
        <v>-2.6262977318399541</v>
      </c>
      <c r="G83" s="6">
        <f t="shared" si="63"/>
        <v>3.732606182455878E-3</v>
      </c>
      <c r="H83" s="2">
        <f t="shared" si="68"/>
        <v>-0.19830990290513262</v>
      </c>
      <c r="I83" s="2">
        <f t="shared" si="64"/>
        <v>1.1323080944932562</v>
      </c>
      <c r="J83" s="4">
        <f t="shared" si="69"/>
        <v>0.5</v>
      </c>
      <c r="K83" s="8">
        <f t="shared" si="70"/>
        <v>1.3541416085317937E-4</v>
      </c>
      <c r="L83" s="9">
        <f t="shared" si="71"/>
        <v>92751225604224.75</v>
      </c>
      <c r="M83" s="6">
        <f t="shared" si="65"/>
        <v>2556629202879713</v>
      </c>
      <c r="N83" s="2">
        <f t="shared" si="66"/>
        <v>11.111111111111111</v>
      </c>
      <c r="O83" s="12">
        <v>900</v>
      </c>
      <c r="P83" s="13"/>
      <c r="Q83" s="6">
        <f t="shared" si="67"/>
        <v>290850670436.97009</v>
      </c>
      <c r="R83" s="6"/>
    </row>
    <row r="84" spans="4:19" ht="15.75">
      <c r="D84" s="2">
        <f t="shared" si="60"/>
        <v>0.85057533329327983</v>
      </c>
      <c r="E84" s="2">
        <f t="shared" si="61"/>
        <v>-7.0287215990613952E-2</v>
      </c>
      <c r="F84" s="2">
        <f t="shared" si="62"/>
        <v>-2.7488715167124633</v>
      </c>
      <c r="G84" s="6">
        <f t="shared" si="63"/>
        <v>2.8147406566370755E-3</v>
      </c>
      <c r="H84" s="2">
        <f t="shared" si="68"/>
        <v>-0.19830990290513262</v>
      </c>
      <c r="I84" s="2">
        <f t="shared" si="64"/>
        <v>1.1323080944932562</v>
      </c>
      <c r="J84" s="4">
        <f t="shared" si="69"/>
        <v>0.5</v>
      </c>
      <c r="K84" s="8">
        <f t="shared" si="70"/>
        <v>1.2187274476786144E-4</v>
      </c>
      <c r="L84" s="9">
        <f t="shared" si="71"/>
        <v>97152270084712.828</v>
      </c>
      <c r="M84" s="6">
        <f t="shared" si="65"/>
        <v>2243803116216840.3</v>
      </c>
      <c r="N84" s="2">
        <f t="shared" si="66"/>
        <v>10</v>
      </c>
      <c r="O84" s="12">
        <v>1000</v>
      </c>
      <c r="P84" s="13"/>
      <c r="Q84" s="6">
        <f t="shared" si="67"/>
        <v>231944144950.80585</v>
      </c>
      <c r="R84" s="6"/>
      <c r="S84" s="6"/>
    </row>
    <row r="85" spans="4:19" ht="15.75">
      <c r="D85" s="2">
        <f t="shared" si="60"/>
        <v>0.85675194408081445</v>
      </c>
      <c r="E85" s="2">
        <f t="shared" si="61"/>
        <v>-6.7144901426706927E-2</v>
      </c>
      <c r="F85" s="2">
        <f t="shared" si="62"/>
        <v>-2.8607860895882919</v>
      </c>
      <c r="G85" s="6">
        <f t="shared" si="63"/>
        <v>2.1753233084868743E-3</v>
      </c>
      <c r="H85" s="2">
        <f t="shared" si="68"/>
        <v>-0.19830990290513262</v>
      </c>
      <c r="I85" s="2">
        <f t="shared" si="64"/>
        <v>1.1323080944932562</v>
      </c>
      <c r="J85" s="4">
        <f t="shared" si="69"/>
        <v>0.5</v>
      </c>
      <c r="K85" s="8">
        <f t="shared" si="70"/>
        <v>1.107934043344195E-4</v>
      </c>
      <c r="L85" s="9">
        <f t="shared" si="71"/>
        <v>101313130365237.22</v>
      </c>
      <c r="M85" s="6">
        <f t="shared" si="65"/>
        <v>1989187129533874.5</v>
      </c>
      <c r="N85" s="2">
        <f t="shared" si="66"/>
        <v>9.0909090909090917</v>
      </c>
      <c r="O85" s="12">
        <v>1100</v>
      </c>
      <c r="P85" s="13"/>
      <c r="Q85" s="6">
        <f t="shared" si="67"/>
        <v>188408694970.44354</v>
      </c>
      <c r="R85" s="6"/>
    </row>
    <row r="86" spans="4:19" ht="15.75">
      <c r="D86" s="2">
        <f t="shared" si="60"/>
        <v>0.86204157928716574</v>
      </c>
      <c r="E86" s="2">
        <f t="shared" si="61"/>
        <v>-6.4471786124848079E-2</v>
      </c>
      <c r="F86" s="2">
        <f t="shared" si="62"/>
        <v>-2.9637345240286672</v>
      </c>
      <c r="G86" s="6">
        <f t="shared" si="63"/>
        <v>1.7162295638479133E-3</v>
      </c>
      <c r="H86" s="2">
        <f t="shared" si="68"/>
        <v>-0.19830990290513262</v>
      </c>
      <c r="I86" s="2">
        <f t="shared" si="64"/>
        <v>1.1323080944932562</v>
      </c>
      <c r="J86" s="4">
        <f t="shared" si="69"/>
        <v>0.5</v>
      </c>
      <c r="K86" s="8">
        <f t="shared" si="70"/>
        <v>1.0156062063988453E-4</v>
      </c>
      <c r="L86" s="9">
        <f t="shared" si="71"/>
        <v>105267110281052.58</v>
      </c>
      <c r="M86" s="6">
        <f t="shared" si="65"/>
        <v>1778863949697368.2</v>
      </c>
      <c r="N86" s="2">
        <f t="shared" si="66"/>
        <v>8.3333333333333339</v>
      </c>
      <c r="O86" s="12">
        <v>1200</v>
      </c>
      <c r="P86" s="13"/>
      <c r="Q86" s="6">
        <f t="shared" si="67"/>
        <v>155471784617.56168</v>
      </c>
      <c r="R86" s="6"/>
    </row>
    <row r="87" spans="4:19" ht="15.75">
      <c r="D87" s="2">
        <f t="shared" si="60"/>
        <v>0.86663141696930346</v>
      </c>
      <c r="E87" s="2">
        <f t="shared" si="61"/>
        <v>-6.2165571049290234E-2</v>
      </c>
      <c r="F87" s="2">
        <f t="shared" si="62"/>
        <v>-3.0590390179446678</v>
      </c>
      <c r="G87" s="6">
        <f t="shared" si="63"/>
        <v>1.3780687515221055E-3</v>
      </c>
      <c r="H87" s="2">
        <f t="shared" si="68"/>
        <v>-0.19830990290513262</v>
      </c>
      <c r="I87" s="2">
        <f t="shared" si="64"/>
        <v>1.1323080944932562</v>
      </c>
      <c r="J87" s="4">
        <f t="shared" si="69"/>
        <v>0.5</v>
      </c>
      <c r="K87" s="8">
        <f t="shared" si="70"/>
        <v>9.3748265206047265E-5</v>
      </c>
      <c r="L87" s="9">
        <f t="shared" si="71"/>
        <v>109040548617475.11</v>
      </c>
      <c r="M87" s="6">
        <f t="shared" si="65"/>
        <v>1602860302196572.7</v>
      </c>
      <c r="N87" s="2">
        <f t="shared" si="66"/>
        <v>7.6923076923076925</v>
      </c>
      <c r="O87" s="12">
        <v>1300</v>
      </c>
      <c r="P87" s="13"/>
      <c r="Q87" s="6">
        <f t="shared" si="67"/>
        <v>130045481249.1955</v>
      </c>
      <c r="R87" s="6"/>
    </row>
    <row r="88" spans="4:19" ht="15.75">
      <c r="D88" s="2">
        <f>10^E88</f>
        <v>0.8742268650744548</v>
      </c>
      <c r="E88" s="2">
        <f>LOG(J88)/(1+(F88/(I88-0.14*F88))^2)</f>
        <v>-5.8375851730694366E-2</v>
      </c>
      <c r="F88" s="2">
        <f>LOG(G88)+H88</f>
        <v>-3.23072010620854</v>
      </c>
      <c r="G88" s="6">
        <f>M88*K88/L88</f>
        <v>9.2808936625628691E-4</v>
      </c>
      <c r="H88" s="2">
        <f>-0.4-0.67*LOG(J88)</f>
        <v>-0.19830990290513262</v>
      </c>
      <c r="I88" s="2">
        <f>0.75-1.27*LOG(J88)</f>
        <v>1.1323080944932562</v>
      </c>
      <c r="J88" s="4">
        <f t="shared" si="69"/>
        <v>0.5</v>
      </c>
      <c r="K88" s="8">
        <f t="shared" si="70"/>
        <v>8.124849651190763E-5</v>
      </c>
      <c r="L88" s="9">
        <f t="shared" si="71"/>
        <v>116126973303923.45</v>
      </c>
      <c r="M88" s="6">
        <f>$B$7*O88^$B$8*EXP(-$B$9/1.987/O88)</f>
        <v>1326500965382215.7</v>
      </c>
      <c r="N88" s="2">
        <f>10000/O88</f>
        <v>6.666666666666667</v>
      </c>
      <c r="O88" s="12">
        <v>1500</v>
      </c>
      <c r="P88" s="13"/>
      <c r="Q88" s="6">
        <f>L88/(1+L88/M88/K88)*D88</f>
        <v>94133493081.233154</v>
      </c>
      <c r="R88" s="6"/>
    </row>
    <row r="89" spans="4:19" ht="15.75">
      <c r="D89" s="2">
        <f>10^E89</f>
        <v>0.88288199922181021</v>
      </c>
      <c r="E89" s="2">
        <f>LOG(J89)/(1+(F89/(I89-0.14*F89))^2)</f>
        <v>-5.4097337771657414E-2</v>
      </c>
      <c r="F89" s="2">
        <f>LOG(G89)+H89</f>
        <v>-3.4515597322126816</v>
      </c>
      <c r="G89" s="6">
        <f>M89*K89/L89</f>
        <v>5.5814902533395105E-4</v>
      </c>
      <c r="H89" s="2">
        <f>-0.4-0.67*LOG(J89)</f>
        <v>-0.19830990290513262</v>
      </c>
      <c r="I89" s="2">
        <f>0.75-1.27*LOG(J89)</f>
        <v>1.1323080944932562</v>
      </c>
      <c r="J89" s="4">
        <f t="shared" si="69"/>
        <v>0.5</v>
      </c>
      <c r="K89" s="8">
        <f t="shared" si="70"/>
        <v>6.7707080426589685E-5</v>
      </c>
      <c r="L89" s="9">
        <f t="shared" si="71"/>
        <v>125826714030766.56</v>
      </c>
      <c r="M89" s="6">
        <f>$B$7*O89^$B$8*EXP(-$B$9/1.987/O89)</f>
        <v>1037263124547099</v>
      </c>
      <c r="N89" s="2">
        <f>10000/O89</f>
        <v>5.5555555555555554</v>
      </c>
      <c r="O89" s="12">
        <v>1800</v>
      </c>
      <c r="P89" s="13"/>
      <c r="Q89" s="6">
        <f>L89/(1+L89/M89/K89)*D89</f>
        <v>61970265190.380257</v>
      </c>
      <c r="R89" s="6"/>
    </row>
    <row r="90" spans="4:19">
      <c r="D90" s="2" t="s">
        <v>4</v>
      </c>
      <c r="E90" s="2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s="2" t="s">
        <v>14</v>
      </c>
      <c r="P90">
        <v>22800</v>
      </c>
      <c r="Q90" s="6" t="s">
        <v>16</v>
      </c>
      <c r="R90" t="s">
        <v>40</v>
      </c>
    </row>
    <row r="91" spans="4:19" ht="15.75">
      <c r="D91" s="2">
        <f t="shared" ref="D91:D101" si="72">10^E91</f>
        <v>0.64875183342295117</v>
      </c>
      <c r="E91" s="2">
        <f t="shared" ref="E91:E101" si="73">LOG(J91)/(1+(F91/(I91-0.14*F91))^2)</f>
        <v>-0.18792140179189334</v>
      </c>
      <c r="F91" s="2">
        <f t="shared" ref="F91:F101" si="74">LOG(G91)+H91</f>
        <v>-0.98550473576199271</v>
      </c>
      <c r="G91" s="6">
        <f t="shared" ref="G91:G101" si="75">M91*K91/L91</f>
        <v>0.1632319493692734</v>
      </c>
      <c r="H91" s="2">
        <f>-0.4-0.67*LOG(J91)</f>
        <v>-0.19830990290513262</v>
      </c>
      <c r="I91" s="2">
        <f t="shared" ref="I91:I101" si="76">0.75-1.27*LOG(J91)</f>
        <v>1.1323080944932562</v>
      </c>
      <c r="J91" s="4">
        <f>(1-$B$10)*EXP(-O91/$B$11)+$B$10*EXP(-O91/$B$12)+EXP(-B$13/O91)</f>
        <v>0.5</v>
      </c>
      <c r="K91" s="8">
        <f>$P$90*101325/760/8.314/O91/1000000</f>
        <v>1.2187274476786144E-3</v>
      </c>
      <c r="L91" s="9">
        <f>B$4*O91^B$5*EXP(-B$6/1.987/O91)</f>
        <v>57198719309897.531</v>
      </c>
      <c r="M91" s="6">
        <f t="shared" ref="M91:M101" si="77">$B$7*O91^$B$8*EXP(-$B$9/1.987/O91)</f>
        <v>7660989725114164</v>
      </c>
      <c r="N91" s="2">
        <f t="shared" ref="N91:N101" si="78">10000/O91</f>
        <v>33.333333333333336</v>
      </c>
      <c r="O91" s="12">
        <v>300</v>
      </c>
      <c r="P91" s="13"/>
      <c r="Q91" s="6">
        <f t="shared" ref="Q91:Q101" si="79">L91/(1+L91/M91/K91)*D91</f>
        <v>5207193882189.6582</v>
      </c>
      <c r="R91" s="6"/>
    </row>
    <row r="92" spans="4:19" ht="15.75">
      <c r="D92" s="2">
        <f t="shared" si="72"/>
        <v>0.69840311489811857</v>
      </c>
      <c r="E92" s="2">
        <f t="shared" si="73"/>
        <v>-0.1558938323322005</v>
      </c>
      <c r="F92" s="2">
        <f t="shared" si="74"/>
        <v>-1.2631753410713289</v>
      </c>
      <c r="G92" s="6">
        <f t="shared" si="75"/>
        <v>8.612605638836314E-2</v>
      </c>
      <c r="H92" s="2">
        <f t="shared" ref="H92:H101" si="80">-0.4-0.67*LOG(J92)</f>
        <v>-0.19830990290513262</v>
      </c>
      <c r="I92" s="2">
        <f t="shared" si="76"/>
        <v>1.1323080944932562</v>
      </c>
      <c r="J92" s="4">
        <f t="shared" ref="J92:J103" si="81">(1-$B$10)*EXP(-O92/$B$11)+$B$10*EXP(-O92/$B$12)+EXP(-B$13/O92)</f>
        <v>0.5</v>
      </c>
      <c r="K92" s="8">
        <f t="shared" ref="K92:K103" si="82">$P$90*101325/760/8.314/O92/1000000</f>
        <v>9.1404558575896081E-4</v>
      </c>
      <c r="L92" s="9">
        <f t="shared" ref="L92:L103" si="83">B$4*O92^B$5*EXP(-B$6/1.987/O92)</f>
        <v>64917135642202.219</v>
      </c>
      <c r="M92" s="6">
        <f t="shared" si="77"/>
        <v>6116824994290516</v>
      </c>
      <c r="N92" s="2">
        <f t="shared" si="78"/>
        <v>25</v>
      </c>
      <c r="O92" s="12">
        <v>400</v>
      </c>
      <c r="P92" s="13"/>
      <c r="Q92" s="6">
        <f t="shared" si="79"/>
        <v>3595173434071.8564</v>
      </c>
      <c r="R92" s="6"/>
      <c r="S92" s="6"/>
    </row>
    <row r="93" spans="4:19" ht="15.75">
      <c r="D93" s="2">
        <f t="shared" si="72"/>
        <v>0.73393445695739123</v>
      </c>
      <c r="E93" s="2">
        <f t="shared" si="73"/>
        <v>-0.13434272244456708</v>
      </c>
      <c r="F93" s="2">
        <f t="shared" si="74"/>
        <v>-1.4943012111235756</v>
      </c>
      <c r="G93" s="6">
        <f t="shared" si="75"/>
        <v>5.0583478546000059E-2</v>
      </c>
      <c r="H93" s="2">
        <f t="shared" si="80"/>
        <v>-0.19830990290513262</v>
      </c>
      <c r="I93" s="2">
        <f t="shared" si="76"/>
        <v>1.1323080944932562</v>
      </c>
      <c r="J93" s="4">
        <f t="shared" si="81"/>
        <v>0.5</v>
      </c>
      <c r="K93" s="8">
        <f t="shared" si="82"/>
        <v>7.312364686071686E-4</v>
      </c>
      <c r="L93" s="9">
        <f t="shared" si="83"/>
        <v>71614300587921.641</v>
      </c>
      <c r="M93" s="6">
        <f t="shared" si="77"/>
        <v>4953938421966200</v>
      </c>
      <c r="N93" s="2">
        <f t="shared" si="78"/>
        <v>20</v>
      </c>
      <c r="O93" s="12">
        <v>500</v>
      </c>
      <c r="P93" s="13"/>
      <c r="Q93" s="6">
        <f t="shared" si="79"/>
        <v>2530667905622.3203</v>
      </c>
      <c r="R93" s="6"/>
      <c r="S93" s="6"/>
    </row>
    <row r="94" spans="4:19" ht="15.75">
      <c r="D94" s="2">
        <f t="shared" si="72"/>
        <v>0.76002265731865293</v>
      </c>
      <c r="E94" s="2">
        <f t="shared" si="73"/>
        <v>-0.11917346061158618</v>
      </c>
      <c r="F94" s="2">
        <f t="shared" si="74"/>
        <v>-1.6912343623759654</v>
      </c>
      <c r="G94" s="6">
        <f t="shared" si="75"/>
        <v>3.2142195665391012E-2</v>
      </c>
      <c r="H94" s="2">
        <f t="shared" si="80"/>
        <v>-0.19830990290513262</v>
      </c>
      <c r="I94" s="2">
        <f t="shared" si="76"/>
        <v>1.1323080944932562</v>
      </c>
      <c r="J94" s="4">
        <f t="shared" si="81"/>
        <v>0.5</v>
      </c>
      <c r="K94" s="8">
        <f t="shared" si="82"/>
        <v>6.093637238393072E-4</v>
      </c>
      <c r="L94" s="9">
        <f t="shared" si="83"/>
        <v>77596030140271.719</v>
      </c>
      <c r="M94" s="6">
        <f t="shared" si="77"/>
        <v>4092968921602400</v>
      </c>
      <c r="N94" s="2">
        <f t="shared" si="78"/>
        <v>16.666666666666668</v>
      </c>
      <c r="O94" s="12">
        <v>600</v>
      </c>
      <c r="P94" s="13"/>
      <c r="Q94" s="6">
        <f t="shared" si="79"/>
        <v>1836547011922.1653</v>
      </c>
      <c r="R94" s="6"/>
      <c r="S94" s="6"/>
    </row>
    <row r="95" spans="4:19" ht="15.75">
      <c r="D95" s="2">
        <f t="shared" si="72"/>
        <v>0.7798392083868867</v>
      </c>
      <c r="E95" s="2">
        <f t="shared" si="73"/>
        <v>-0.10799493334654606</v>
      </c>
      <c r="F95" s="2">
        <f t="shared" si="74"/>
        <v>-1.8624438437988067</v>
      </c>
      <c r="G95" s="6">
        <f t="shared" si="75"/>
        <v>2.167035665617394E-2</v>
      </c>
      <c r="H95" s="2">
        <f t="shared" si="80"/>
        <v>-0.19830990290513262</v>
      </c>
      <c r="I95" s="2">
        <f t="shared" si="76"/>
        <v>1.1323080944932562</v>
      </c>
      <c r="J95" s="4">
        <f t="shared" si="81"/>
        <v>0.5</v>
      </c>
      <c r="K95" s="8">
        <f t="shared" si="82"/>
        <v>5.2231176329083475E-4</v>
      </c>
      <c r="L95" s="9">
        <f t="shared" si="83"/>
        <v>83041673073623.266</v>
      </c>
      <c r="M95" s="6">
        <f t="shared" si="77"/>
        <v>3445342033831980</v>
      </c>
      <c r="N95" s="2">
        <f t="shared" si="78"/>
        <v>14.285714285714286</v>
      </c>
      <c r="O95" s="12">
        <v>700</v>
      </c>
      <c r="P95" s="13"/>
      <c r="Q95" s="6">
        <f t="shared" si="79"/>
        <v>1373587796000.8958</v>
      </c>
      <c r="R95" s="6"/>
      <c r="S95" s="6"/>
    </row>
    <row r="96" spans="4:19" ht="15.75">
      <c r="D96" s="2">
        <f t="shared" si="72"/>
        <v>0.79536836330060534</v>
      </c>
      <c r="E96" s="2">
        <f t="shared" si="73"/>
        <v>-9.9431687573352828E-2</v>
      </c>
      <c r="F96" s="2">
        <f t="shared" si="74"/>
        <v>-2.0137296078448346</v>
      </c>
      <c r="G96" s="6">
        <f t="shared" si="75"/>
        <v>1.5296085237981956E-2</v>
      </c>
      <c r="H96" s="2">
        <f t="shared" si="80"/>
        <v>-0.19830990290513262</v>
      </c>
      <c r="I96" s="2">
        <f t="shared" si="76"/>
        <v>1.1323080944932562</v>
      </c>
      <c r="J96" s="4">
        <f t="shared" si="81"/>
        <v>0.5</v>
      </c>
      <c r="K96" s="8">
        <f t="shared" si="82"/>
        <v>4.570227928794804E-4</v>
      </c>
      <c r="L96" s="9">
        <f t="shared" si="83"/>
        <v>88066867137719.016</v>
      </c>
      <c r="M96" s="6">
        <f t="shared" si="77"/>
        <v>2947507930388527.5</v>
      </c>
      <c r="N96" s="2">
        <f t="shared" si="78"/>
        <v>12.5</v>
      </c>
      <c r="O96" s="12">
        <v>800</v>
      </c>
      <c r="P96" s="13"/>
      <c r="Q96" s="6">
        <f t="shared" si="79"/>
        <v>1055281787610.2977</v>
      </c>
      <c r="R96" s="6"/>
      <c r="S96" s="6"/>
    </row>
    <row r="97" spans="4:19" ht="15.75">
      <c r="D97" s="2">
        <f t="shared" si="72"/>
        <v>0.80786505658373864</v>
      </c>
      <c r="E97" s="2">
        <f t="shared" si="73"/>
        <v>-9.2661176447441054E-2</v>
      </c>
      <c r="F97" s="2">
        <f t="shared" si="74"/>
        <v>-2.1491764771202915</v>
      </c>
      <c r="G97" s="6">
        <f t="shared" si="75"/>
        <v>1.1197818547367634E-2</v>
      </c>
      <c r="H97" s="2">
        <f t="shared" si="80"/>
        <v>-0.19830990290513262</v>
      </c>
      <c r="I97" s="2">
        <f t="shared" si="76"/>
        <v>1.1323080944932562</v>
      </c>
      <c r="J97" s="4">
        <f t="shared" si="81"/>
        <v>0.5</v>
      </c>
      <c r="K97" s="8">
        <f t="shared" si="82"/>
        <v>4.0624248255953814E-4</v>
      </c>
      <c r="L97" s="9">
        <f t="shared" si="83"/>
        <v>92751225604224.75</v>
      </c>
      <c r="M97" s="6">
        <f t="shared" si="77"/>
        <v>2556629202879713</v>
      </c>
      <c r="N97" s="2">
        <f t="shared" si="78"/>
        <v>11.111111111111111</v>
      </c>
      <c r="O97" s="12">
        <v>900</v>
      </c>
      <c r="P97" s="13"/>
      <c r="Q97" s="6">
        <f t="shared" si="79"/>
        <v>829766280627.63525</v>
      </c>
      <c r="R97" s="6"/>
      <c r="S97" s="6"/>
    </row>
    <row r="98" spans="4:19" ht="15.75">
      <c r="D98" s="2">
        <f t="shared" si="72"/>
        <v>0.81814746715872311</v>
      </c>
      <c r="E98" s="2">
        <f t="shared" si="73"/>
        <v>-8.7168409774739344E-2</v>
      </c>
      <c r="F98" s="2">
        <f t="shared" si="74"/>
        <v>-2.2717502619928007</v>
      </c>
      <c r="G98" s="6">
        <f t="shared" si="75"/>
        <v>8.444221969911226E-3</v>
      </c>
      <c r="H98" s="2">
        <f t="shared" si="80"/>
        <v>-0.19830990290513262</v>
      </c>
      <c r="I98" s="2">
        <f t="shared" si="76"/>
        <v>1.1323080944932562</v>
      </c>
      <c r="J98" s="4">
        <f t="shared" si="81"/>
        <v>0.5</v>
      </c>
      <c r="K98" s="8">
        <f t="shared" si="82"/>
        <v>3.656182343035843E-4</v>
      </c>
      <c r="L98" s="9">
        <f t="shared" si="83"/>
        <v>97152270084712.828</v>
      </c>
      <c r="M98" s="6">
        <f t="shared" si="77"/>
        <v>2243803116216840.3</v>
      </c>
      <c r="N98" s="2">
        <f t="shared" si="78"/>
        <v>10</v>
      </c>
      <c r="O98" s="12">
        <v>1000</v>
      </c>
      <c r="P98" s="13"/>
      <c r="Q98" s="6">
        <f t="shared" si="79"/>
        <v>665567798972.40051</v>
      </c>
      <c r="R98" s="6"/>
      <c r="S98" s="6"/>
    </row>
    <row r="99" spans="4:19" ht="15.75">
      <c r="D99" s="2">
        <f t="shared" si="72"/>
        <v>0.82676696630801483</v>
      </c>
      <c r="E99" s="2">
        <f t="shared" si="73"/>
        <v>-8.2616884048557215E-2</v>
      </c>
      <c r="F99" s="2">
        <f t="shared" si="74"/>
        <v>-2.3836648348686293</v>
      </c>
      <c r="G99" s="6">
        <f t="shared" si="75"/>
        <v>6.5259699254606226E-3</v>
      </c>
      <c r="H99" s="2">
        <f t="shared" si="80"/>
        <v>-0.19830990290513262</v>
      </c>
      <c r="I99" s="2">
        <f t="shared" si="76"/>
        <v>1.1323080944932562</v>
      </c>
      <c r="J99" s="4">
        <f t="shared" si="81"/>
        <v>0.5</v>
      </c>
      <c r="K99" s="8">
        <f t="shared" si="82"/>
        <v>3.3238021300325844E-4</v>
      </c>
      <c r="L99" s="9">
        <f t="shared" si="83"/>
        <v>101313130365237.22</v>
      </c>
      <c r="M99" s="6">
        <f t="shared" si="77"/>
        <v>1989187129533874.5</v>
      </c>
      <c r="N99" s="2">
        <f t="shared" si="78"/>
        <v>9.0909090909090917</v>
      </c>
      <c r="O99" s="12">
        <v>1100</v>
      </c>
      <c r="P99" s="13"/>
      <c r="Q99" s="6">
        <f t="shared" si="79"/>
        <v>543086407762.39111</v>
      </c>
      <c r="R99" s="6"/>
      <c r="S99" s="6"/>
    </row>
    <row r="100" spans="4:19" ht="15.75">
      <c r="D100" s="2">
        <f t="shared" si="72"/>
        <v>0.83410685852406963</v>
      </c>
      <c r="E100" s="2">
        <f t="shared" si="73"/>
        <v>-7.8778307762115488E-2</v>
      </c>
      <c r="F100" s="2">
        <f t="shared" si="74"/>
        <v>-2.4866132693090046</v>
      </c>
      <c r="G100" s="6">
        <f t="shared" si="75"/>
        <v>5.14868869154374E-3</v>
      </c>
      <c r="H100" s="2">
        <f t="shared" si="80"/>
        <v>-0.19830990290513262</v>
      </c>
      <c r="I100" s="2">
        <f t="shared" si="76"/>
        <v>1.1323080944932562</v>
      </c>
      <c r="J100" s="4">
        <f t="shared" si="81"/>
        <v>0.5</v>
      </c>
      <c r="K100" s="8">
        <f t="shared" si="82"/>
        <v>3.046818619196536E-4</v>
      </c>
      <c r="L100" s="9">
        <f t="shared" si="83"/>
        <v>105267110281052.58</v>
      </c>
      <c r="M100" s="6">
        <f t="shared" si="77"/>
        <v>1778863949697368.2</v>
      </c>
      <c r="N100" s="2">
        <f t="shared" si="78"/>
        <v>8.3333333333333339</v>
      </c>
      <c r="O100" s="12">
        <v>1200</v>
      </c>
      <c r="P100" s="13"/>
      <c r="Q100" s="6">
        <f t="shared" si="79"/>
        <v>449759884329.02264</v>
      </c>
      <c r="R100" s="6"/>
    </row>
    <row r="101" spans="4:19" ht="15.75">
      <c r="D101" s="2">
        <f t="shared" si="72"/>
        <v>0.84044116090671828</v>
      </c>
      <c r="E101" s="2">
        <f t="shared" si="73"/>
        <v>-7.5492686017500948E-2</v>
      </c>
      <c r="F101" s="2">
        <f t="shared" si="74"/>
        <v>-2.5819177632250052</v>
      </c>
      <c r="G101" s="6">
        <f t="shared" si="75"/>
        <v>4.1342062545663165E-3</v>
      </c>
      <c r="H101" s="2">
        <f t="shared" si="80"/>
        <v>-0.19830990290513262</v>
      </c>
      <c r="I101" s="2">
        <f t="shared" si="76"/>
        <v>1.1323080944932562</v>
      </c>
      <c r="J101" s="4">
        <f t="shared" si="81"/>
        <v>0.5</v>
      </c>
      <c r="K101" s="8">
        <f t="shared" si="82"/>
        <v>2.8124479561814178E-4</v>
      </c>
      <c r="L101" s="9">
        <f t="shared" si="83"/>
        <v>109040548617475.11</v>
      </c>
      <c r="M101" s="6">
        <f t="shared" si="77"/>
        <v>1602860302196572.7</v>
      </c>
      <c r="N101" s="2">
        <f t="shared" si="78"/>
        <v>7.6923076923076925</v>
      </c>
      <c r="O101" s="12">
        <v>1300</v>
      </c>
      <c r="P101" s="13"/>
      <c r="Q101" s="6">
        <f t="shared" si="79"/>
        <v>377307744786.20752</v>
      </c>
      <c r="R101" s="6"/>
    </row>
    <row r="102" spans="4:19" ht="15.75">
      <c r="D102" s="2">
        <f>10^E102</f>
        <v>0.85084576361302622</v>
      </c>
      <c r="E102" s="2">
        <f>LOG(J102)/(1+(F102/(I102-0.14*F102))^2)</f>
        <v>-7.0149159166459335E-2</v>
      </c>
      <c r="F102" s="2">
        <f>LOG(G102)+H102</f>
        <v>-2.7535988514888774</v>
      </c>
      <c r="G102" s="6">
        <f>M102*K102/L102</f>
        <v>2.7842680987688602E-3</v>
      </c>
      <c r="H102" s="2">
        <f>-0.4-0.67*LOG(J102)</f>
        <v>-0.19830990290513262</v>
      </c>
      <c r="I102" s="2">
        <f>0.75-1.27*LOG(J102)</f>
        <v>1.1323080944932562</v>
      </c>
      <c r="J102" s="4">
        <f t="shared" si="81"/>
        <v>0.5</v>
      </c>
      <c r="K102" s="8">
        <f t="shared" si="82"/>
        <v>2.4374548953572288E-4</v>
      </c>
      <c r="L102" s="9">
        <f t="shared" si="83"/>
        <v>116126973303923.45</v>
      </c>
      <c r="M102" s="6">
        <f>$B$7*O102^$B$8*EXP(-$B$9/1.987/O102)</f>
        <v>1326500965382215.7</v>
      </c>
      <c r="N102" s="2">
        <f>10000/O102</f>
        <v>6.666666666666667</v>
      </c>
      <c r="O102" s="12">
        <v>1500</v>
      </c>
      <c r="P102" s="13"/>
      <c r="Q102" s="6">
        <f>L102/(1+L102/M102/K102)*D102</f>
        <v>274338959474.99271</v>
      </c>
      <c r="R102" s="6"/>
    </row>
    <row r="103" spans="4:19" ht="15.75">
      <c r="D103" s="2">
        <f>10^E103</f>
        <v>0.86257132963589844</v>
      </c>
      <c r="E103" s="2">
        <f>LOG(J103)/(1+(F103/(I103-0.14*F103))^2)</f>
        <v>-6.420498114004651E-2</v>
      </c>
      <c r="F103" s="2">
        <f>LOG(G103)+H103</f>
        <v>-2.974438477493019</v>
      </c>
      <c r="G103" s="6">
        <f>M103*K103/L103</f>
        <v>1.6744470760018536E-3</v>
      </c>
      <c r="H103" s="2">
        <f>-0.4-0.67*LOG(J103)</f>
        <v>-0.19830990290513262</v>
      </c>
      <c r="I103" s="2">
        <f>0.75-1.27*LOG(J103)</f>
        <v>1.1323080944932562</v>
      </c>
      <c r="J103" s="4">
        <f t="shared" si="81"/>
        <v>0.5</v>
      </c>
      <c r="K103" s="8">
        <f t="shared" si="82"/>
        <v>2.0312124127976907E-4</v>
      </c>
      <c r="L103" s="9">
        <f t="shared" si="83"/>
        <v>125826714030766.56</v>
      </c>
      <c r="M103" s="6">
        <f>$B$7*O103^$B$8*EXP(-$B$9/1.987/O103)</f>
        <v>1037263124547099</v>
      </c>
      <c r="N103" s="2">
        <f>10000/O103</f>
        <v>5.5555555555555554</v>
      </c>
      <c r="O103" s="12">
        <v>1800</v>
      </c>
      <c r="P103" s="13"/>
      <c r="Q103" s="6">
        <f>L103/(1+L103/M103/K103)*D103</f>
        <v>181431505549.7674</v>
      </c>
      <c r="R103" s="6"/>
    </row>
    <row r="104" spans="4:19">
      <c r="D104" s="2" t="s">
        <v>4</v>
      </c>
      <c r="E104" s="2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s="2" t="s">
        <v>14</v>
      </c>
      <c r="P104">
        <v>76000</v>
      </c>
      <c r="Q104" s="6" t="s">
        <v>16</v>
      </c>
    </row>
    <row r="105" spans="4:19" ht="15.75">
      <c r="D105" s="2">
        <f t="shared" ref="D105:D115" si="84">10^E105</f>
        <v>0.5471263806469574</v>
      </c>
      <c r="E105" s="2">
        <f t="shared" ref="E105:E115" si="85">LOG(J105)/(1+(F105/(I105-0.14*F105))^2)</f>
        <v>-0.26191234445632816</v>
      </c>
      <c r="F105" s="2">
        <f t="shared" ref="F105:F115" si="86">LOG(G105)+H105</f>
        <v>-0.46262599048165515</v>
      </c>
      <c r="G105" s="6">
        <f t="shared" ref="G105:G115" si="87">M105*K105/L105</f>
        <v>0.54410649789757803</v>
      </c>
      <c r="H105" s="2">
        <f>-0.4-0.67*LOG(J105)</f>
        <v>-0.19830990290513262</v>
      </c>
      <c r="I105" s="2">
        <f t="shared" ref="I105:I115" si="88">0.75-1.27*LOG(J105)</f>
        <v>1.1323080944932562</v>
      </c>
      <c r="J105" s="4">
        <f>(1-$B$10)*EXP(-O105/$B$11)+$B$10*EXP(-O105/$B$12)+EXP(-B$13/O105)</f>
        <v>0.5</v>
      </c>
      <c r="K105" s="8">
        <f>$P$104*101325/760/8.314/O105/1000000</f>
        <v>4.0624248255953814E-3</v>
      </c>
      <c r="L105" s="9">
        <f>B$4*O105^B$5*EXP(-B$6/1.987/O105)</f>
        <v>57198719309897.531</v>
      </c>
      <c r="M105" s="6">
        <f t="shared" ref="M105:M115" si="89">$B$7*O105^$B$8*EXP(-$B$9/1.987/O105)</f>
        <v>7660989725114164</v>
      </c>
      <c r="N105" s="2">
        <f t="shared" ref="N105:N115" si="90">10000/O105</f>
        <v>33.333333333333336</v>
      </c>
      <c r="O105" s="12">
        <v>300</v>
      </c>
      <c r="P105" s="13"/>
      <c r="Q105" s="6">
        <f t="shared" ref="Q105:Q115" si="91">L105/(1+L105/M105/K105)*D105</f>
        <v>11027590291294.457</v>
      </c>
      <c r="R105" s="6"/>
      <c r="S105" s="6"/>
    </row>
    <row r="106" spans="4:19" ht="15.75">
      <c r="D106" s="2">
        <f t="shared" si="84"/>
        <v>0.60041732827988026</v>
      </c>
      <c r="E106" s="2">
        <f t="shared" si="85"/>
        <v>-0.22154678233860017</v>
      </c>
      <c r="F106" s="2">
        <f t="shared" si="86"/>
        <v>-0.74029659579099127</v>
      </c>
      <c r="G106" s="6">
        <f t="shared" si="87"/>
        <v>0.28708685462787714</v>
      </c>
      <c r="H106" s="2">
        <f t="shared" ref="H106:H115" si="92">-0.4-0.67*LOG(J106)</f>
        <v>-0.19830990290513262</v>
      </c>
      <c r="I106" s="2">
        <f t="shared" si="88"/>
        <v>1.1323080944932562</v>
      </c>
      <c r="J106" s="4">
        <f t="shared" ref="J106:J117" si="93">(1-$B$10)*EXP(-O106/$B$11)+$B$10*EXP(-O106/$B$12)+EXP(-B$13/O106)</f>
        <v>0.5</v>
      </c>
      <c r="K106" s="8">
        <f t="shared" ref="K106:K117" si="94">$P$104*101325/760/8.314/O106/1000000</f>
        <v>3.0468186191965358E-3</v>
      </c>
      <c r="L106" s="9">
        <f t="shared" ref="L106:L117" si="95">B$4*O106^B$5*EXP(-B$6/1.987/O106)</f>
        <v>64917135642202.219</v>
      </c>
      <c r="M106" s="6">
        <f t="shared" si="89"/>
        <v>6116824994290516</v>
      </c>
      <c r="N106" s="2">
        <f t="shared" si="90"/>
        <v>25</v>
      </c>
      <c r="O106" s="12">
        <v>400</v>
      </c>
      <c r="P106" s="13"/>
      <c r="Q106" s="6">
        <f t="shared" si="91"/>
        <v>8693967634525.1973</v>
      </c>
      <c r="R106" s="6"/>
      <c r="S106" s="6"/>
    </row>
    <row r="107" spans="4:19" ht="15.75">
      <c r="D107" s="2">
        <f t="shared" si="84"/>
        <v>0.6460577266840648</v>
      </c>
      <c r="E107" s="2">
        <f t="shared" si="85"/>
        <v>-0.18972867510047683</v>
      </c>
      <c r="F107" s="2">
        <f t="shared" si="86"/>
        <v>-0.97142246584323788</v>
      </c>
      <c r="G107" s="6">
        <f t="shared" si="87"/>
        <v>0.16861159515333354</v>
      </c>
      <c r="H107" s="2">
        <f t="shared" si="92"/>
        <v>-0.19830990290513262</v>
      </c>
      <c r="I107" s="2">
        <f t="shared" si="88"/>
        <v>1.1323080944932562</v>
      </c>
      <c r="J107" s="4">
        <f t="shared" si="93"/>
        <v>0.5</v>
      </c>
      <c r="K107" s="8">
        <f t="shared" si="94"/>
        <v>2.4374548953572288E-3</v>
      </c>
      <c r="L107" s="9">
        <f t="shared" si="95"/>
        <v>71614300587921.641</v>
      </c>
      <c r="M107" s="6">
        <f t="shared" si="89"/>
        <v>4953938421966200</v>
      </c>
      <c r="N107" s="2">
        <f t="shared" si="90"/>
        <v>20</v>
      </c>
      <c r="O107" s="12">
        <v>500</v>
      </c>
      <c r="P107" s="13"/>
      <c r="Q107" s="6">
        <f t="shared" si="91"/>
        <v>6675569559607.8975</v>
      </c>
      <c r="R107" s="6"/>
      <c r="S107" s="6"/>
    </row>
    <row r="108" spans="4:19" ht="15.75">
      <c r="D108" s="2">
        <f t="shared" si="84"/>
        <v>0.68225783008672736</v>
      </c>
      <c r="E108" s="2">
        <f t="shared" si="85"/>
        <v>-0.16605147135034176</v>
      </c>
      <c r="F108" s="2">
        <f t="shared" si="86"/>
        <v>-1.168355617095628</v>
      </c>
      <c r="G108" s="6">
        <f t="shared" si="87"/>
        <v>0.10714065221797003</v>
      </c>
      <c r="H108" s="2">
        <f t="shared" si="92"/>
        <v>-0.19830990290513262</v>
      </c>
      <c r="I108" s="2">
        <f t="shared" si="88"/>
        <v>1.1323080944932562</v>
      </c>
      <c r="J108" s="4">
        <f t="shared" si="93"/>
        <v>0.5</v>
      </c>
      <c r="K108" s="8">
        <f t="shared" si="94"/>
        <v>2.0312124127976907E-3</v>
      </c>
      <c r="L108" s="9">
        <f t="shared" si="95"/>
        <v>77596030140271.719</v>
      </c>
      <c r="M108" s="6">
        <f t="shared" si="89"/>
        <v>4092968921602400</v>
      </c>
      <c r="N108" s="2">
        <f t="shared" si="90"/>
        <v>16.666666666666668</v>
      </c>
      <c r="O108" s="12">
        <v>600</v>
      </c>
      <c r="P108" s="13"/>
      <c r="Q108" s="6">
        <f t="shared" si="91"/>
        <v>5123178880637.1777</v>
      </c>
      <c r="R108" s="6"/>
      <c r="S108" s="6"/>
    </row>
    <row r="109" spans="4:19" ht="15.75">
      <c r="D109" s="2">
        <f t="shared" si="84"/>
        <v>0.71074993704761968</v>
      </c>
      <c r="E109" s="2">
        <f t="shared" si="85"/>
        <v>-0.14828317010374978</v>
      </c>
      <c r="F109" s="2">
        <f t="shared" si="86"/>
        <v>-1.3395650985184688</v>
      </c>
      <c r="G109" s="6">
        <f t="shared" si="87"/>
        <v>7.2234522187246478E-2</v>
      </c>
      <c r="H109" s="2">
        <f t="shared" si="92"/>
        <v>-0.19830990290513262</v>
      </c>
      <c r="I109" s="2">
        <f t="shared" si="88"/>
        <v>1.1323080944932562</v>
      </c>
      <c r="J109" s="4">
        <f t="shared" si="93"/>
        <v>0.5</v>
      </c>
      <c r="K109" s="8">
        <f t="shared" si="94"/>
        <v>1.7410392109694492E-3</v>
      </c>
      <c r="L109" s="9">
        <f t="shared" si="95"/>
        <v>83041673073623.266</v>
      </c>
      <c r="M109" s="6">
        <f t="shared" si="89"/>
        <v>3445342033831980</v>
      </c>
      <c r="N109" s="2">
        <f t="shared" si="90"/>
        <v>14.285714285714286</v>
      </c>
      <c r="O109" s="12">
        <v>700</v>
      </c>
      <c r="P109" s="13"/>
      <c r="Q109" s="6">
        <f t="shared" si="91"/>
        <v>3976197417519.9658</v>
      </c>
      <c r="R109" s="6"/>
      <c r="S109" s="6"/>
    </row>
    <row r="110" spans="4:19" ht="15.75">
      <c r="D110" s="2">
        <f t="shared" si="84"/>
        <v>0.73344385345001695</v>
      </c>
      <c r="E110" s="2">
        <f t="shared" si="85"/>
        <v>-0.13463312663342955</v>
      </c>
      <c r="F110" s="2">
        <f t="shared" si="86"/>
        <v>-1.4908508625644967</v>
      </c>
      <c r="G110" s="6">
        <f t="shared" si="87"/>
        <v>5.0986950793273179E-2</v>
      </c>
      <c r="H110" s="2">
        <f t="shared" si="92"/>
        <v>-0.19830990290513262</v>
      </c>
      <c r="I110" s="2">
        <f t="shared" si="88"/>
        <v>1.1323080944932562</v>
      </c>
      <c r="J110" s="4">
        <f t="shared" si="93"/>
        <v>0.5</v>
      </c>
      <c r="K110" s="8">
        <f t="shared" si="94"/>
        <v>1.5234093095982679E-3</v>
      </c>
      <c r="L110" s="9">
        <f t="shared" si="95"/>
        <v>88066867137719.016</v>
      </c>
      <c r="M110" s="6">
        <f t="shared" si="89"/>
        <v>2947507930388527.5</v>
      </c>
      <c r="N110" s="2">
        <f t="shared" si="90"/>
        <v>12.5</v>
      </c>
      <c r="O110" s="12">
        <v>800</v>
      </c>
      <c r="P110" s="13"/>
      <c r="Q110" s="6">
        <f t="shared" si="91"/>
        <v>3133582528260.5728</v>
      </c>
      <c r="R110" s="6"/>
      <c r="S110" s="6"/>
    </row>
    <row r="111" spans="4:19" ht="15.75">
      <c r="D111" s="2">
        <f t="shared" si="84"/>
        <v>0.75182737114915477</v>
      </c>
      <c r="E111" s="2">
        <f t="shared" si="85"/>
        <v>-0.12388186733907773</v>
      </c>
      <c r="F111" s="2">
        <f t="shared" si="86"/>
        <v>-1.6262977318399541</v>
      </c>
      <c r="G111" s="6">
        <f t="shared" si="87"/>
        <v>3.7326061824558776E-2</v>
      </c>
      <c r="H111" s="2">
        <f t="shared" si="92"/>
        <v>-0.19830990290513262</v>
      </c>
      <c r="I111" s="2">
        <f t="shared" si="88"/>
        <v>1.1323080944932562</v>
      </c>
      <c r="J111" s="4">
        <f t="shared" si="93"/>
        <v>0.5</v>
      </c>
      <c r="K111" s="8">
        <f t="shared" si="94"/>
        <v>1.3541416085317936E-3</v>
      </c>
      <c r="L111" s="9">
        <f t="shared" si="95"/>
        <v>92751225604224.75</v>
      </c>
      <c r="M111" s="6">
        <f t="shared" si="89"/>
        <v>2556629202879713</v>
      </c>
      <c r="N111" s="2">
        <f t="shared" si="90"/>
        <v>11.111111111111111</v>
      </c>
      <c r="O111" s="12">
        <v>900</v>
      </c>
      <c r="P111" s="13"/>
      <c r="Q111" s="6">
        <f t="shared" si="91"/>
        <v>2509196490880.7246</v>
      </c>
      <c r="R111" s="6"/>
      <c r="S111" s="6"/>
    </row>
    <row r="112" spans="4:19" ht="15.75">
      <c r="D112" s="2">
        <f t="shared" si="84"/>
        <v>0.76697635035602552</v>
      </c>
      <c r="E112" s="2">
        <f t="shared" si="85"/>
        <v>-0.1152180272742612</v>
      </c>
      <c r="F112" s="2">
        <f t="shared" si="86"/>
        <v>-1.7488715167124633</v>
      </c>
      <c r="G112" s="6">
        <f t="shared" si="87"/>
        <v>2.8147406566370756E-2</v>
      </c>
      <c r="H112" s="2">
        <f t="shared" si="92"/>
        <v>-0.19830990290513262</v>
      </c>
      <c r="I112" s="2">
        <f t="shared" si="88"/>
        <v>1.1323080944932562</v>
      </c>
      <c r="J112" s="4">
        <f t="shared" si="93"/>
        <v>0.5</v>
      </c>
      <c r="K112" s="8">
        <f t="shared" si="94"/>
        <v>1.2187274476786144E-3</v>
      </c>
      <c r="L112" s="9">
        <f t="shared" si="95"/>
        <v>97152270084712.828</v>
      </c>
      <c r="M112" s="6">
        <f t="shared" si="89"/>
        <v>2243803116216840.3</v>
      </c>
      <c r="N112" s="2">
        <f t="shared" si="90"/>
        <v>10</v>
      </c>
      <c r="O112" s="12">
        <v>1000</v>
      </c>
      <c r="P112" s="13"/>
      <c r="Q112" s="6">
        <f t="shared" si="91"/>
        <v>2039942506210.9661</v>
      </c>
      <c r="R112" s="6"/>
      <c r="S112" s="6"/>
    </row>
    <row r="113" spans="4:19" ht="15.75">
      <c r="D113" s="2">
        <f t="shared" si="84"/>
        <v>0.77965916238139221</v>
      </c>
      <c r="E113" s="2">
        <f t="shared" si="85"/>
        <v>-0.10809521301145378</v>
      </c>
      <c r="F113" s="2">
        <f t="shared" si="86"/>
        <v>-1.8607860895882919</v>
      </c>
      <c r="G113" s="6">
        <f t="shared" si="87"/>
        <v>2.1753233084868741E-2</v>
      </c>
      <c r="H113" s="2">
        <f t="shared" si="92"/>
        <v>-0.19830990290513262</v>
      </c>
      <c r="I113" s="2">
        <f t="shared" si="88"/>
        <v>1.1323080944932562</v>
      </c>
      <c r="J113" s="4">
        <f t="shared" si="93"/>
        <v>0.5</v>
      </c>
      <c r="K113" s="8">
        <f t="shared" si="94"/>
        <v>1.1079340433441949E-3</v>
      </c>
      <c r="L113" s="9">
        <f t="shared" si="95"/>
        <v>101313130365237.22</v>
      </c>
      <c r="M113" s="6">
        <f t="shared" si="89"/>
        <v>1989187129533874.5</v>
      </c>
      <c r="N113" s="2">
        <f t="shared" si="90"/>
        <v>9.0909090909090917</v>
      </c>
      <c r="O113" s="12">
        <v>1100</v>
      </c>
      <c r="P113" s="13"/>
      <c r="Q113" s="6">
        <f t="shared" si="91"/>
        <v>1681699186361.6375</v>
      </c>
      <c r="R113" s="6"/>
      <c r="S113" s="6"/>
    </row>
    <row r="114" spans="4:19" ht="15.75">
      <c r="D114" s="2">
        <f t="shared" si="84"/>
        <v>0.79042879666331878</v>
      </c>
      <c r="E114" s="2">
        <f t="shared" si="85"/>
        <v>-0.10213724604674139</v>
      </c>
      <c r="F114" s="2">
        <f t="shared" si="86"/>
        <v>-1.9637345240286672</v>
      </c>
      <c r="G114" s="6">
        <f t="shared" si="87"/>
        <v>1.7162295638479132E-2</v>
      </c>
      <c r="H114" s="2">
        <f t="shared" si="92"/>
        <v>-0.19830990290513262</v>
      </c>
      <c r="I114" s="2">
        <f t="shared" si="88"/>
        <v>1.1323080944932562</v>
      </c>
      <c r="J114" s="4">
        <f t="shared" si="93"/>
        <v>0.5</v>
      </c>
      <c r="K114" s="8">
        <f t="shared" si="94"/>
        <v>1.0156062063988453E-3</v>
      </c>
      <c r="L114" s="9">
        <f t="shared" si="95"/>
        <v>105267110281052.58</v>
      </c>
      <c r="M114" s="6">
        <f t="shared" si="89"/>
        <v>1778863949697368.2</v>
      </c>
      <c r="N114" s="2">
        <f t="shared" si="90"/>
        <v>8.3333333333333339</v>
      </c>
      <c r="O114" s="12">
        <v>1200</v>
      </c>
      <c r="P114" s="13"/>
      <c r="Q114" s="6">
        <f t="shared" si="91"/>
        <v>1403914245007.6731</v>
      </c>
      <c r="R114" s="6"/>
      <c r="S114" s="6"/>
    </row>
    <row r="115" spans="4:19" ht="15.75">
      <c r="D115" s="2">
        <f t="shared" si="84"/>
        <v>0.79968909971815016</v>
      </c>
      <c r="E115" s="2">
        <f t="shared" si="85"/>
        <v>-9.7078823658267532E-2</v>
      </c>
      <c r="F115" s="2">
        <f t="shared" si="86"/>
        <v>-2.0590390179446678</v>
      </c>
      <c r="G115" s="6">
        <f t="shared" si="87"/>
        <v>1.3780687515221055E-2</v>
      </c>
      <c r="H115" s="2">
        <f t="shared" si="92"/>
        <v>-0.19830990290513262</v>
      </c>
      <c r="I115" s="2">
        <f t="shared" si="88"/>
        <v>1.1323080944932562</v>
      </c>
      <c r="J115" s="4">
        <f t="shared" si="93"/>
        <v>0.5</v>
      </c>
      <c r="K115" s="8">
        <f t="shared" si="94"/>
        <v>9.3748265206047268E-4</v>
      </c>
      <c r="L115" s="9">
        <f t="shared" si="95"/>
        <v>109040548617475.11</v>
      </c>
      <c r="M115" s="6">
        <f t="shared" si="89"/>
        <v>1602860302196572.7</v>
      </c>
      <c r="N115" s="2">
        <f t="shared" si="90"/>
        <v>7.6923076923076925</v>
      </c>
      <c r="O115" s="12">
        <v>1300</v>
      </c>
      <c r="P115" s="13"/>
      <c r="Q115" s="6">
        <f t="shared" si="91"/>
        <v>1185321264174.5757</v>
      </c>
      <c r="R115" s="6"/>
      <c r="S115" s="6"/>
    </row>
    <row r="116" spans="4:19" ht="15.75">
      <c r="D116" s="2">
        <f>10^E116</f>
        <v>0.81480778601222048</v>
      </c>
      <c r="E116" s="2">
        <f>LOG(J116)/(1+(F116/(I116-0.14*F116))^2)</f>
        <v>-8.8944829689070956E-2</v>
      </c>
      <c r="F116" s="2">
        <f>LOG(G116)+H116</f>
        <v>-2.23072010620854</v>
      </c>
      <c r="G116" s="6">
        <f>M116*K116/L116</f>
        <v>9.2808936625628693E-3</v>
      </c>
      <c r="H116" s="2">
        <f>-0.4-0.67*LOG(J116)</f>
        <v>-0.19830990290513262</v>
      </c>
      <c r="I116" s="2">
        <f>0.75-1.27*LOG(J116)</f>
        <v>1.1323080944932562</v>
      </c>
      <c r="J116" s="4">
        <f t="shared" si="93"/>
        <v>0.5</v>
      </c>
      <c r="K116" s="8">
        <f t="shared" si="94"/>
        <v>8.1248496511907627E-4</v>
      </c>
      <c r="L116" s="9">
        <f t="shared" si="95"/>
        <v>116126973303923.45</v>
      </c>
      <c r="M116" s="6">
        <f>$B$7*O116^$B$8*EXP(-$B$9/1.987/O116)</f>
        <v>1326500965382215.7</v>
      </c>
      <c r="N116" s="2">
        <f>10000/O116</f>
        <v>6.666666666666667</v>
      </c>
      <c r="O116" s="12">
        <v>1500</v>
      </c>
      <c r="P116" s="13"/>
      <c r="Q116" s="6">
        <f>L116/(1+L116/M116/K116)*D116</f>
        <v>870093695813.4071</v>
      </c>
      <c r="R116" s="6"/>
      <c r="S116" s="6"/>
    </row>
    <row r="117" spans="4:19" ht="15.75">
      <c r="D117" s="2">
        <f>10^E117</f>
        <v>0.83166784319232634</v>
      </c>
      <c r="E117" s="2">
        <f>LOG(J117)/(1+(F117/(I117-0.14*F117))^2)</f>
        <v>-8.0050090381607986E-2</v>
      </c>
      <c r="F117" s="2">
        <f>LOG(G117)+H117</f>
        <v>-2.4515597322126816</v>
      </c>
      <c r="G117" s="6">
        <f>M117*K117/L117</f>
        <v>5.5814902533395105E-3</v>
      </c>
      <c r="H117" s="2">
        <f>-0.4-0.67*LOG(J117)</f>
        <v>-0.19830990290513262</v>
      </c>
      <c r="I117" s="2">
        <f>0.75-1.27*LOG(J117)</f>
        <v>1.1323080944932562</v>
      </c>
      <c r="J117" s="4">
        <f t="shared" si="93"/>
        <v>0.5</v>
      </c>
      <c r="K117" s="8">
        <f t="shared" si="94"/>
        <v>6.7707080426589682E-4</v>
      </c>
      <c r="L117" s="9">
        <f t="shared" si="95"/>
        <v>125826714030766.56</v>
      </c>
      <c r="M117" s="6">
        <f>$B$7*O117^$B$8*EXP(-$B$9/1.987/O117)</f>
        <v>1037263124547099</v>
      </c>
      <c r="N117" s="2">
        <f>10000/O117</f>
        <v>5.5555555555555554</v>
      </c>
      <c r="O117" s="12">
        <v>1800</v>
      </c>
      <c r="P117" s="13"/>
      <c r="Q117" s="6">
        <f>L117/(1+L117/M117/K117)*D117</f>
        <v>580838860516.34839</v>
      </c>
      <c r="R117" s="6"/>
      <c r="S117" s="6"/>
    </row>
    <row r="118" spans="4:19">
      <c r="D118" s="2" t="s">
        <v>4</v>
      </c>
      <c r="E118" s="2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P118">
        <v>380000</v>
      </c>
      <c r="Q118" t="s">
        <v>16</v>
      </c>
    </row>
    <row r="119" spans="4:19" ht="15.75">
      <c r="D119" s="2">
        <f t="shared" ref="D119:D131" si="96">10^E119</f>
        <v>0.51555092581011719</v>
      </c>
      <c r="E119" s="2">
        <f t="shared" ref="E119:E129" si="97">LOG(J119)/(1+(F119/(I119-0.14*F119))^2)</f>
        <v>-0.28772842891403905</v>
      </c>
      <c r="F119" s="2">
        <f t="shared" ref="F119:F129" si="98">LOG(G119)+H119</f>
        <v>0.2363440138543636</v>
      </c>
      <c r="G119" s="6">
        <f t="shared" ref="G119:G129" si="99">M119*K119/L119</f>
        <v>2.7205324894878897</v>
      </c>
      <c r="H119" s="2">
        <f>-0.4-0.67*LOG(J119)</f>
        <v>-0.19830990290513262</v>
      </c>
      <c r="I119" s="2">
        <f t="shared" ref="I119:I129" si="100">0.75-1.27*LOG(J119)</f>
        <v>1.1323080944932562</v>
      </c>
      <c r="J119" s="4">
        <f>(1-$B$10)*EXP(-O119/$B$11)+$B$10*EXP(-O119/$B$12)+EXP(-B$13/O119)</f>
        <v>0.5</v>
      </c>
      <c r="K119" s="8">
        <f>$P$118*101325/760/8.314/O119/1000000</f>
        <v>2.0312124127976904E-2</v>
      </c>
      <c r="L119" s="9">
        <f>B$4*O119^B$5*EXP(-B$6/1.987/O119)</f>
        <v>57198719309897.531</v>
      </c>
      <c r="M119" s="6">
        <f t="shared" ref="M119:M129" si="101">$B$7*O119^$B$8*EXP(-$B$9/1.987/O119)</f>
        <v>7660989725114164</v>
      </c>
      <c r="N119" s="2">
        <f t="shared" ref="N119:N129" si="102">10000/O119</f>
        <v>33.333333333333336</v>
      </c>
      <c r="O119" s="12">
        <v>300</v>
      </c>
      <c r="P119" s="13"/>
      <c r="Q119" s="6">
        <f t="shared" ref="Q119:Q129" si="103">L119/(1+L119/M119/K119)*D119</f>
        <v>21562876298527.117</v>
      </c>
      <c r="R119" s="6"/>
      <c r="S119" s="6"/>
    </row>
    <row r="120" spans="4:19" ht="15.75">
      <c r="D120" s="2">
        <f t="shared" si="96"/>
        <v>0.50045658796409265</v>
      </c>
      <c r="E120" s="2">
        <f t="shared" si="97"/>
        <v>-0.30063358936417478</v>
      </c>
      <c r="F120" s="2">
        <f t="shared" si="98"/>
        <v>-4.13265914549725E-2</v>
      </c>
      <c r="G120" s="6">
        <f t="shared" si="99"/>
        <v>1.4354342731393857</v>
      </c>
      <c r="H120" s="2">
        <f t="shared" ref="H120:H129" si="104">-0.4-0.67*LOG(J120)</f>
        <v>-0.19830990290513262</v>
      </c>
      <c r="I120" s="2">
        <f t="shared" si="100"/>
        <v>1.1323080944932562</v>
      </c>
      <c r="J120" s="4">
        <f t="shared" ref="J120:J131" si="105">(1-$B$10)*EXP(-O120/$B$11)+$B$10*EXP(-O120/$B$12)+EXP(-B$13/O120)</f>
        <v>0.5</v>
      </c>
      <c r="K120" s="8">
        <f t="shared" ref="K120:K131" si="106">$P$118*101325/760/8.314/O120/1000000</f>
        <v>1.5234093095982681E-2</v>
      </c>
      <c r="L120" s="9">
        <f t="shared" ref="L120:L131" si="107">B$4*O120^B$5*EXP(-B$6/1.987/O120)</f>
        <v>64917135642202.219</v>
      </c>
      <c r="M120" s="6">
        <f t="shared" si="101"/>
        <v>6116824994290516</v>
      </c>
      <c r="N120" s="2">
        <f t="shared" si="102"/>
        <v>25</v>
      </c>
      <c r="O120" s="12">
        <v>400</v>
      </c>
      <c r="P120" s="13"/>
      <c r="Q120" s="6">
        <f t="shared" si="103"/>
        <v>19148407346936.992</v>
      </c>
      <c r="R120" s="6"/>
      <c r="S120" s="6"/>
    </row>
    <row r="121" spans="4:19" ht="15.75">
      <c r="D121" s="2">
        <f t="shared" si="96"/>
        <v>0.51813480462236849</v>
      </c>
      <c r="E121" s="2">
        <f t="shared" si="97"/>
        <v>-0.28555723390906979</v>
      </c>
      <c r="F121" s="2">
        <f t="shared" si="98"/>
        <v>-0.27245246150721919</v>
      </c>
      <c r="G121" s="6">
        <f t="shared" si="99"/>
        <v>0.84305797576666763</v>
      </c>
      <c r="H121" s="2">
        <f t="shared" si="104"/>
        <v>-0.19830990290513262</v>
      </c>
      <c r="I121" s="2">
        <f t="shared" si="100"/>
        <v>1.1323080944932562</v>
      </c>
      <c r="J121" s="4">
        <f t="shared" si="105"/>
        <v>0.5</v>
      </c>
      <c r="K121" s="8">
        <f t="shared" si="106"/>
        <v>1.2187274476786143E-2</v>
      </c>
      <c r="L121" s="9">
        <f t="shared" si="107"/>
        <v>71614300587921.641</v>
      </c>
      <c r="M121" s="6">
        <f t="shared" si="101"/>
        <v>4953938421966200</v>
      </c>
      <c r="N121" s="2">
        <f t="shared" si="102"/>
        <v>20</v>
      </c>
      <c r="O121" s="12">
        <v>500</v>
      </c>
      <c r="P121" s="13"/>
      <c r="Q121" s="6">
        <f t="shared" si="103"/>
        <v>16973092011963.258</v>
      </c>
      <c r="R121" s="6"/>
      <c r="S121" s="6"/>
    </row>
    <row r="122" spans="4:19" ht="15.75">
      <c r="D122" s="2">
        <f t="shared" si="96"/>
        <v>0.54831580811948377</v>
      </c>
      <c r="E122" s="2">
        <f t="shared" si="97"/>
        <v>-0.26096923308771258</v>
      </c>
      <c r="F122" s="2">
        <f t="shared" si="98"/>
        <v>-0.46938561275960922</v>
      </c>
      <c r="G122" s="6">
        <f t="shared" si="99"/>
        <v>0.53570326108985011</v>
      </c>
      <c r="H122" s="2">
        <f t="shared" si="104"/>
        <v>-0.19830990290513262</v>
      </c>
      <c r="I122" s="2">
        <f t="shared" si="100"/>
        <v>1.1323080944932562</v>
      </c>
      <c r="J122" s="4">
        <f t="shared" si="105"/>
        <v>0.5</v>
      </c>
      <c r="K122" s="8">
        <f t="shared" si="106"/>
        <v>1.0156062063988452E-2</v>
      </c>
      <c r="L122" s="9">
        <f t="shared" si="107"/>
        <v>77596030140271.719</v>
      </c>
      <c r="M122" s="6">
        <f t="shared" si="101"/>
        <v>4092968921602400</v>
      </c>
      <c r="N122" s="2">
        <f t="shared" si="102"/>
        <v>16.666666666666668</v>
      </c>
      <c r="O122" s="12">
        <v>600</v>
      </c>
      <c r="P122" s="13"/>
      <c r="Q122" s="6">
        <f t="shared" si="103"/>
        <v>14841823192128.926</v>
      </c>
      <c r="R122" s="6"/>
      <c r="S122" s="6"/>
    </row>
    <row r="123" spans="4:19" ht="15.75">
      <c r="D123" s="2">
        <f t="shared" si="96"/>
        <v>0.58058079229136605</v>
      </c>
      <c r="E123" s="2">
        <f t="shared" si="97"/>
        <v>-0.23613733629603756</v>
      </c>
      <c r="F123" s="2">
        <f t="shared" si="98"/>
        <v>-0.64059509418245009</v>
      </c>
      <c r="G123" s="6">
        <f t="shared" si="99"/>
        <v>0.36117261093623232</v>
      </c>
      <c r="H123" s="2">
        <f t="shared" si="104"/>
        <v>-0.19830990290513262</v>
      </c>
      <c r="I123" s="2">
        <f t="shared" si="100"/>
        <v>1.1323080944932562</v>
      </c>
      <c r="J123" s="4">
        <f t="shared" si="105"/>
        <v>0.5</v>
      </c>
      <c r="K123" s="8">
        <f t="shared" si="106"/>
        <v>8.7051960548472449E-3</v>
      </c>
      <c r="L123" s="9">
        <f t="shared" si="107"/>
        <v>83041673073623.266</v>
      </c>
      <c r="M123" s="6">
        <f t="shared" si="101"/>
        <v>3445342033831980</v>
      </c>
      <c r="N123" s="2">
        <f t="shared" si="102"/>
        <v>14.285714285714286</v>
      </c>
      <c r="O123" s="12">
        <v>700</v>
      </c>
      <c r="P123" s="13"/>
      <c r="Q123" s="6">
        <f t="shared" si="103"/>
        <v>12792645379922.611</v>
      </c>
      <c r="R123" s="6"/>
      <c r="S123" s="6"/>
    </row>
    <row r="124" spans="4:19" ht="15.75">
      <c r="D124" s="2">
        <f t="shared" si="96"/>
        <v>0.61074224654203679</v>
      </c>
      <c r="E124" s="2">
        <f t="shared" si="97"/>
        <v>-0.21414203774852167</v>
      </c>
      <c r="F124" s="2">
        <f t="shared" si="98"/>
        <v>-0.79188085822847809</v>
      </c>
      <c r="G124" s="6">
        <f t="shared" si="99"/>
        <v>0.25493475396636595</v>
      </c>
      <c r="H124" s="2">
        <f t="shared" si="104"/>
        <v>-0.19830990290513262</v>
      </c>
      <c r="I124" s="2">
        <f t="shared" si="100"/>
        <v>1.1323080944932562</v>
      </c>
      <c r="J124" s="4">
        <f t="shared" si="105"/>
        <v>0.5</v>
      </c>
      <c r="K124" s="8">
        <f t="shared" si="106"/>
        <v>7.6170465479913404E-3</v>
      </c>
      <c r="L124" s="9">
        <f t="shared" si="107"/>
        <v>88066867137719.016</v>
      </c>
      <c r="M124" s="6">
        <f t="shared" si="101"/>
        <v>2947507930388527.5</v>
      </c>
      <c r="N124" s="2">
        <f t="shared" si="102"/>
        <v>12.5</v>
      </c>
      <c r="O124" s="12">
        <v>800</v>
      </c>
      <c r="P124" s="13"/>
      <c r="Q124" s="6">
        <f t="shared" si="103"/>
        <v>10926433007859.902</v>
      </c>
      <c r="R124" s="6"/>
      <c r="S124" s="6"/>
    </row>
    <row r="125" spans="4:19" ht="15.75">
      <c r="D125" s="2">
        <f t="shared" si="96"/>
        <v>0.63753520069078706</v>
      </c>
      <c r="E125" s="2">
        <f t="shared" si="97"/>
        <v>-0.1954958312175816</v>
      </c>
      <c r="F125" s="2">
        <f t="shared" si="98"/>
        <v>-0.92732772750393522</v>
      </c>
      <c r="G125" s="6">
        <f t="shared" si="99"/>
        <v>0.18663030912279391</v>
      </c>
      <c r="H125" s="2">
        <f t="shared" si="104"/>
        <v>-0.19830990290513262</v>
      </c>
      <c r="I125" s="2">
        <f t="shared" si="100"/>
        <v>1.1323080944932562</v>
      </c>
      <c r="J125" s="4">
        <f t="shared" si="105"/>
        <v>0.5</v>
      </c>
      <c r="K125" s="8">
        <f t="shared" si="106"/>
        <v>6.7707080426589695E-3</v>
      </c>
      <c r="L125" s="9">
        <f t="shared" si="107"/>
        <v>92751225604224.75</v>
      </c>
      <c r="M125" s="6">
        <f t="shared" si="101"/>
        <v>2556629202879713</v>
      </c>
      <c r="N125" s="2">
        <f t="shared" si="102"/>
        <v>11.111111111111111</v>
      </c>
      <c r="O125" s="12">
        <v>900</v>
      </c>
      <c r="P125" s="13"/>
      <c r="Q125" s="6">
        <f t="shared" si="103"/>
        <v>9300163084404.5098</v>
      </c>
      <c r="R125" s="6"/>
      <c r="S125" s="6"/>
    </row>
    <row r="126" spans="4:19" ht="15.75">
      <c r="D126" s="2">
        <f t="shared" si="96"/>
        <v>0.6608800030645996</v>
      </c>
      <c r="E126" s="2">
        <f t="shared" si="97"/>
        <v>-0.17987738883177437</v>
      </c>
      <c r="F126" s="2">
        <f t="shared" si="98"/>
        <v>-1.0499015123764444</v>
      </c>
      <c r="G126" s="6">
        <f t="shared" si="99"/>
        <v>0.14073703283185379</v>
      </c>
      <c r="H126" s="2">
        <f t="shared" si="104"/>
        <v>-0.19830990290513262</v>
      </c>
      <c r="I126" s="2">
        <f t="shared" si="100"/>
        <v>1.1323080944932562</v>
      </c>
      <c r="J126" s="4">
        <f t="shared" si="105"/>
        <v>0.5</v>
      </c>
      <c r="K126" s="8">
        <f t="shared" si="106"/>
        <v>6.0936372383930716E-3</v>
      </c>
      <c r="L126" s="9">
        <f t="shared" si="107"/>
        <v>97152270084712.828</v>
      </c>
      <c r="M126" s="6">
        <f t="shared" si="101"/>
        <v>2243803116216840.3</v>
      </c>
      <c r="N126" s="2">
        <f t="shared" si="102"/>
        <v>10</v>
      </c>
      <c r="O126" s="12">
        <v>1000</v>
      </c>
      <c r="P126" s="13"/>
      <c r="Q126" s="6">
        <f t="shared" si="103"/>
        <v>7921335611647.9463</v>
      </c>
      <c r="R126" s="6"/>
      <c r="S126" s="6"/>
    </row>
    <row r="127" spans="4:19" ht="15.75">
      <c r="D127" s="2">
        <f t="shared" si="96"/>
        <v>0.68111166431894754</v>
      </c>
      <c r="E127" s="2">
        <f t="shared" si="97"/>
        <v>-0.1667816821810863</v>
      </c>
      <c r="F127" s="2">
        <f t="shared" si="98"/>
        <v>-1.161816085252273</v>
      </c>
      <c r="G127" s="6">
        <f t="shared" si="99"/>
        <v>0.10876616542434372</v>
      </c>
      <c r="H127" s="2">
        <f t="shared" si="104"/>
        <v>-0.19830990290513262</v>
      </c>
      <c r="I127" s="2">
        <f t="shared" si="100"/>
        <v>1.1323080944932562</v>
      </c>
      <c r="J127" s="4">
        <f t="shared" si="105"/>
        <v>0.5</v>
      </c>
      <c r="K127" s="8">
        <f t="shared" si="106"/>
        <v>5.5396702167209745E-3</v>
      </c>
      <c r="L127" s="9">
        <f t="shared" si="107"/>
        <v>101313130365237.22</v>
      </c>
      <c r="M127" s="6">
        <f t="shared" si="101"/>
        <v>1989187129533874.5</v>
      </c>
      <c r="N127" s="2">
        <f t="shared" si="102"/>
        <v>9.0909090909090917</v>
      </c>
      <c r="O127" s="12">
        <v>1100</v>
      </c>
      <c r="P127" s="13"/>
      <c r="Q127" s="6">
        <f t="shared" si="103"/>
        <v>6769208717782.5059</v>
      </c>
      <c r="R127" s="6"/>
      <c r="S127" s="6"/>
    </row>
    <row r="128" spans="4:19" ht="15.75">
      <c r="D128" s="2">
        <f t="shared" si="96"/>
        <v>0.69866603182724296</v>
      </c>
      <c r="E128" s="2">
        <f t="shared" si="97"/>
        <v>-0.15573037102732049</v>
      </c>
      <c r="F128" s="2">
        <f t="shared" si="98"/>
        <v>-1.2647645196926485</v>
      </c>
      <c r="G128" s="6">
        <f t="shared" si="99"/>
        <v>8.5811478192395665E-2</v>
      </c>
      <c r="H128" s="2">
        <f t="shared" si="104"/>
        <v>-0.19830990290513262</v>
      </c>
      <c r="I128" s="2">
        <f t="shared" si="100"/>
        <v>1.1323080944932562</v>
      </c>
      <c r="J128" s="4">
        <f t="shared" si="105"/>
        <v>0.5</v>
      </c>
      <c r="K128" s="8">
        <f t="shared" si="106"/>
        <v>5.0780310319942261E-3</v>
      </c>
      <c r="L128" s="9">
        <f t="shared" si="107"/>
        <v>105267110281052.58</v>
      </c>
      <c r="M128" s="6">
        <f t="shared" si="101"/>
        <v>1778863949697368.2</v>
      </c>
      <c r="N128" s="2">
        <f t="shared" si="102"/>
        <v>8.3333333333333339</v>
      </c>
      <c r="O128" s="12">
        <v>1200</v>
      </c>
      <c r="P128" s="13"/>
      <c r="Q128" s="6">
        <f t="shared" si="103"/>
        <v>5812370434923.0791</v>
      </c>
      <c r="R128" s="6"/>
      <c r="S128" s="6"/>
    </row>
    <row r="129" spans="4:19" ht="15.75">
      <c r="D129" s="2">
        <f t="shared" si="96"/>
        <v>0.71396232940112747</v>
      </c>
      <c r="E129" s="2">
        <f t="shared" si="97"/>
        <v>-0.14632470218014962</v>
      </c>
      <c r="F129" s="2">
        <f t="shared" si="98"/>
        <v>-1.3600690136086491</v>
      </c>
      <c r="G129" s="6">
        <f t="shared" si="99"/>
        <v>6.8903437576105273E-2</v>
      </c>
      <c r="H129" s="2">
        <f t="shared" si="104"/>
        <v>-0.19830990290513262</v>
      </c>
      <c r="I129" s="2">
        <f t="shared" si="100"/>
        <v>1.1323080944932562</v>
      </c>
      <c r="J129" s="4">
        <f t="shared" si="105"/>
        <v>0.5</v>
      </c>
      <c r="K129" s="8">
        <f t="shared" si="106"/>
        <v>4.6874132603023626E-3</v>
      </c>
      <c r="L129" s="9">
        <f t="shared" si="107"/>
        <v>109040548617475.11</v>
      </c>
      <c r="M129" s="6">
        <f t="shared" si="101"/>
        <v>1602860302196572.7</v>
      </c>
      <c r="N129" s="2">
        <f t="shared" si="102"/>
        <v>7.6923076923076925</v>
      </c>
      <c r="O129" s="12">
        <v>1300</v>
      </c>
      <c r="P129" s="13"/>
      <c r="Q129" s="6">
        <f t="shared" si="103"/>
        <v>5018405393263.627</v>
      </c>
      <c r="R129" s="6"/>
      <c r="S129" s="6"/>
    </row>
    <row r="130" spans="4:19" ht="15.75">
      <c r="D130" s="2">
        <f t="shared" si="96"/>
        <v>0.73918331822304395</v>
      </c>
      <c r="E130" s="2">
        <f>LOG(J130)/(1+(F130/(I130-0.14*F130))^2)</f>
        <v>-0.13124784276932089</v>
      </c>
      <c r="F130" s="2">
        <f>LOG(G130)+H130</f>
        <v>-1.5317501018725213</v>
      </c>
      <c r="G130" s="6">
        <f>M130*K130/L130</f>
        <v>4.6404468312814341E-2</v>
      </c>
      <c r="H130" s="2">
        <f>-0.4-0.67*LOG(J130)</f>
        <v>-0.19830990290513262</v>
      </c>
      <c r="I130" s="2">
        <f>0.75-1.27*LOG(J130)</f>
        <v>1.1323080944932562</v>
      </c>
      <c r="J130" s="4">
        <f t="shared" si="105"/>
        <v>0.5</v>
      </c>
      <c r="K130" s="8">
        <f t="shared" si="106"/>
        <v>4.0624248255953814E-3</v>
      </c>
      <c r="L130" s="9">
        <f t="shared" si="107"/>
        <v>116126973303923.45</v>
      </c>
      <c r="M130" s="6">
        <f>$B$7*O130^$B$8*EXP(-$B$9/1.987/O130)</f>
        <v>1326500965382215.7</v>
      </c>
      <c r="N130" s="2">
        <f>10000/O130</f>
        <v>6.666666666666667</v>
      </c>
      <c r="O130" s="12">
        <v>1500</v>
      </c>
      <c r="P130" s="13"/>
      <c r="Q130" s="6">
        <f>L130/(1+L130/M130/K130)*D130</f>
        <v>3806672192737.7065</v>
      </c>
      <c r="R130" s="6"/>
      <c r="S130" s="6"/>
    </row>
    <row r="131" spans="4:19" ht="15.75">
      <c r="D131" s="2">
        <f t="shared" si="96"/>
        <v>0.7674148548904326</v>
      </c>
      <c r="E131" s="2">
        <f>LOG(J131)/(1+(F131/(I131-0.14*F131))^2)</f>
        <v>-0.11496979839479947</v>
      </c>
      <c r="F131" s="2">
        <f>LOG(G131)+H131</f>
        <v>-1.7525897278766629</v>
      </c>
      <c r="G131" s="6">
        <f>M131*K131/L131</f>
        <v>2.7907451266697556E-2</v>
      </c>
      <c r="H131" s="2">
        <f>-0.4-0.67*LOG(J131)</f>
        <v>-0.19830990290513262</v>
      </c>
      <c r="I131" s="2">
        <f>0.75-1.27*LOG(J131)</f>
        <v>1.1323080944932562</v>
      </c>
      <c r="J131" s="4">
        <f t="shared" si="105"/>
        <v>0.5</v>
      </c>
      <c r="K131" s="8">
        <f t="shared" si="106"/>
        <v>3.3853540213294848E-3</v>
      </c>
      <c r="L131" s="9">
        <f t="shared" si="107"/>
        <v>125826714030766.56</v>
      </c>
      <c r="M131" s="6">
        <f>$B$7*O131^$B$8*EXP(-$B$9/1.987/O131)</f>
        <v>1037263124547099</v>
      </c>
      <c r="N131" s="2">
        <f>10000/O131</f>
        <v>5.5555555555555554</v>
      </c>
      <c r="O131" s="12">
        <v>1800</v>
      </c>
      <c r="P131" s="13"/>
      <c r="Q131" s="6">
        <f>L131/(1+L131/M131/K131)*D131</f>
        <v>2621616836564.6362</v>
      </c>
      <c r="R131" s="6"/>
      <c r="S131" s="6"/>
    </row>
    <row r="132" spans="4:19">
      <c r="D132" s="2"/>
      <c r="E132" s="2"/>
      <c r="R132" s="6"/>
      <c r="S132" s="6"/>
    </row>
    <row r="133" spans="4:19" ht="15.75">
      <c r="D133" s="2"/>
      <c r="E133" s="2"/>
      <c r="F133" s="2"/>
      <c r="G133" s="6"/>
      <c r="H133" s="2"/>
      <c r="I133" s="2"/>
      <c r="J133" s="4"/>
      <c r="K133" s="8"/>
      <c r="L133" s="9"/>
      <c r="M133" s="6"/>
      <c r="N133" s="2"/>
      <c r="O133" s="12"/>
      <c r="P133" s="13"/>
      <c r="Q133" s="6"/>
      <c r="R133" s="6"/>
    </row>
    <row r="134" spans="4:19" ht="15.75">
      <c r="D134" s="2"/>
      <c r="E134" s="2"/>
      <c r="F134" s="2"/>
      <c r="G134" s="6"/>
      <c r="H134" s="2"/>
      <c r="I134" s="2"/>
      <c r="J134" s="4"/>
      <c r="K134" s="8"/>
      <c r="L134" s="9"/>
      <c r="M134" s="6"/>
      <c r="N134" s="2"/>
      <c r="O134" s="12"/>
      <c r="P134" s="13"/>
      <c r="Q134" s="6"/>
      <c r="R134" s="6"/>
      <c r="S134" s="6"/>
    </row>
    <row r="135" spans="4:19" ht="15.75">
      <c r="D135" s="2"/>
      <c r="E135" s="2"/>
      <c r="F135" s="2"/>
      <c r="G135" s="6"/>
      <c r="H135" s="2"/>
      <c r="I135" s="2"/>
      <c r="J135" s="4"/>
      <c r="K135" s="8"/>
      <c r="L135" s="9"/>
      <c r="M135" s="6"/>
      <c r="N135" s="2"/>
      <c r="O135" s="12"/>
      <c r="P135" s="13"/>
      <c r="Q135" s="6"/>
      <c r="R135" s="6"/>
      <c r="S135" s="6"/>
    </row>
    <row r="136" spans="4:19" ht="15.75">
      <c r="D136" s="2"/>
      <c r="E136" s="2"/>
      <c r="F136" s="2"/>
      <c r="G136" s="6"/>
      <c r="H136" s="2"/>
      <c r="I136" s="2"/>
      <c r="J136" s="4"/>
      <c r="K136" s="8"/>
      <c r="L136" s="9"/>
      <c r="M136" s="6"/>
      <c r="N136" s="2"/>
      <c r="O136" s="12"/>
      <c r="P136" s="13"/>
      <c r="Q136" s="6"/>
      <c r="R136" s="6"/>
    </row>
    <row r="137" spans="4:19" ht="15.75">
      <c r="D137" s="2"/>
      <c r="E137" s="2"/>
      <c r="F137" s="2"/>
      <c r="G137" s="6"/>
      <c r="H137" s="2"/>
      <c r="I137" s="2"/>
      <c r="J137" s="4"/>
      <c r="K137" s="8"/>
      <c r="L137" s="9"/>
      <c r="M137" s="6"/>
      <c r="N137" s="2"/>
      <c r="O137" s="12"/>
      <c r="P137" s="13"/>
      <c r="Q137" s="6"/>
      <c r="R137" s="6"/>
    </row>
    <row r="138" spans="4:19" ht="15.75">
      <c r="D138" s="2"/>
      <c r="E138" s="2"/>
      <c r="F138" s="2"/>
      <c r="G138" s="6"/>
      <c r="H138" s="2"/>
      <c r="I138" s="2"/>
      <c r="J138" s="4"/>
      <c r="K138" s="8"/>
      <c r="L138" s="9"/>
      <c r="M138" s="6"/>
      <c r="N138" s="2"/>
      <c r="O138" s="12"/>
      <c r="P138" s="13"/>
      <c r="Q138" s="6"/>
      <c r="R138" s="6"/>
    </row>
    <row r="139" spans="4:19" ht="15.75">
      <c r="D139" s="2"/>
      <c r="E139" s="2"/>
      <c r="F139" s="2"/>
      <c r="G139" s="6"/>
      <c r="H139" s="2"/>
      <c r="I139" s="2"/>
      <c r="J139" s="4"/>
      <c r="K139" s="8"/>
      <c r="L139" s="9"/>
      <c r="M139" s="6"/>
      <c r="N139" s="2"/>
      <c r="O139" s="12"/>
      <c r="P139" s="13"/>
      <c r="Q139" s="6"/>
      <c r="R139" s="6"/>
      <c r="S139" s="6"/>
    </row>
    <row r="140" spans="4:19" ht="15.75">
      <c r="D140" s="2"/>
      <c r="E140" s="2"/>
      <c r="F140" s="2"/>
      <c r="G140" s="6"/>
      <c r="H140" s="2"/>
      <c r="I140" s="2"/>
      <c r="J140" s="4"/>
      <c r="K140" s="8"/>
      <c r="L140" s="9"/>
      <c r="M140" s="6"/>
      <c r="N140" s="2"/>
      <c r="O140" s="12"/>
      <c r="P140" s="13"/>
      <c r="Q140" s="6"/>
      <c r="R140" s="6"/>
    </row>
    <row r="141" spans="4:19" ht="15.75">
      <c r="D141" s="2"/>
      <c r="E141" s="2"/>
      <c r="F141" s="2"/>
      <c r="G141" s="6"/>
      <c r="H141" s="2"/>
      <c r="I141" s="2"/>
      <c r="J141" s="4"/>
      <c r="K141" s="8"/>
      <c r="L141" s="9"/>
      <c r="M141" s="6"/>
      <c r="N141" s="2"/>
      <c r="O141" s="12"/>
      <c r="P141" s="13"/>
      <c r="Q141" s="6"/>
      <c r="R141" s="6"/>
    </row>
    <row r="142" spans="4:19" ht="15.75">
      <c r="D142" s="2"/>
      <c r="E142" s="2"/>
      <c r="F142" s="2"/>
      <c r="G142" s="6"/>
      <c r="H142" s="2"/>
      <c r="I142" s="2"/>
      <c r="J142" s="4"/>
      <c r="K142" s="8"/>
      <c r="L142" s="9"/>
      <c r="M142" s="6"/>
      <c r="N142" s="2"/>
      <c r="O142" s="12"/>
      <c r="P142" s="13"/>
      <c r="Q142" s="6"/>
    </row>
    <row r="143" spans="4:19" ht="15.75">
      <c r="D143" s="2"/>
      <c r="E143" s="2"/>
      <c r="F143" s="2"/>
      <c r="G143" s="6"/>
      <c r="H143" s="2"/>
      <c r="I143" s="2"/>
      <c r="J143" s="4"/>
      <c r="K143" s="8"/>
      <c r="L143" s="9"/>
      <c r="M143" s="6"/>
      <c r="N143" s="2"/>
      <c r="O143" s="12"/>
      <c r="P143" s="13"/>
      <c r="Q143" s="6"/>
      <c r="R143" s="6"/>
    </row>
    <row r="144" spans="4:19" ht="15.75">
      <c r="D144" s="2"/>
      <c r="E144" s="2"/>
      <c r="F144" s="2"/>
      <c r="G144" s="6"/>
      <c r="H144" s="2"/>
      <c r="I144" s="2"/>
      <c r="J144" s="4"/>
      <c r="K144" s="8"/>
      <c r="L144" s="9"/>
      <c r="M144" s="6"/>
      <c r="N144" s="2"/>
      <c r="O144" s="12"/>
      <c r="P144" s="13"/>
      <c r="Q144" s="6"/>
      <c r="R144" s="6"/>
    </row>
    <row r="145" spans="4:19" ht="15.75">
      <c r="D145" s="2"/>
      <c r="E145" s="2"/>
      <c r="F145" s="2"/>
      <c r="G145" s="6"/>
      <c r="H145" s="2"/>
      <c r="I145" s="2"/>
      <c r="J145" s="4"/>
      <c r="K145" s="8"/>
      <c r="L145" s="9"/>
      <c r="M145" s="6"/>
      <c r="N145" s="2"/>
      <c r="O145" s="12"/>
      <c r="P145" s="13"/>
      <c r="Q145" s="6"/>
      <c r="R145" s="6"/>
    </row>
    <row r="146" spans="4:19">
      <c r="D146" s="2"/>
      <c r="E146" s="2"/>
      <c r="R146" s="6"/>
    </row>
    <row r="147" spans="4:19" ht="15.75">
      <c r="D147" s="2"/>
      <c r="E147" s="2"/>
      <c r="F147" s="2"/>
      <c r="G147" s="6"/>
      <c r="H147" s="2"/>
      <c r="I147" s="2"/>
      <c r="J147" s="4"/>
      <c r="K147" s="8"/>
      <c r="L147" s="9"/>
      <c r="M147" s="6"/>
      <c r="N147" s="2"/>
      <c r="O147" s="12"/>
      <c r="P147" s="13"/>
      <c r="Q147" s="6"/>
      <c r="R147" s="6"/>
      <c r="S147" s="6"/>
    </row>
    <row r="148" spans="4:19" ht="15.75">
      <c r="D148" s="2"/>
      <c r="E148" s="2"/>
      <c r="F148" s="2"/>
      <c r="G148" s="6"/>
      <c r="H148" s="2"/>
      <c r="I148" s="2"/>
      <c r="J148" s="4"/>
      <c r="K148" s="8"/>
      <c r="L148" s="9"/>
      <c r="M148" s="6"/>
      <c r="N148" s="2"/>
      <c r="O148" s="12"/>
      <c r="P148" s="13"/>
      <c r="Q148" s="6"/>
      <c r="R148" s="6"/>
      <c r="S148" s="6"/>
    </row>
    <row r="149" spans="4:19" ht="15.75">
      <c r="D149" s="2"/>
      <c r="E149" s="2"/>
      <c r="F149" s="2"/>
      <c r="G149" s="6"/>
      <c r="H149" s="2"/>
      <c r="I149" s="2"/>
      <c r="J149" s="4"/>
      <c r="K149" s="8"/>
      <c r="L149" s="9"/>
      <c r="M149" s="6"/>
      <c r="N149" s="2"/>
      <c r="O149" s="12"/>
      <c r="P149" s="13"/>
      <c r="Q149" s="6"/>
      <c r="R149" s="6"/>
      <c r="S149" s="6"/>
    </row>
    <row r="150" spans="4:19" ht="15.75">
      <c r="D150" s="2"/>
      <c r="E150" s="2"/>
      <c r="F150" s="2"/>
      <c r="G150" s="6"/>
      <c r="H150" s="2"/>
      <c r="I150" s="2"/>
      <c r="J150" s="4"/>
      <c r="K150" s="8"/>
      <c r="L150" s="9"/>
      <c r="M150" s="6"/>
      <c r="N150" s="2"/>
      <c r="O150" s="12"/>
      <c r="P150" s="13"/>
      <c r="Q150" s="6"/>
      <c r="R150" s="6"/>
      <c r="S150" s="6"/>
    </row>
    <row r="151" spans="4:19" ht="15.75">
      <c r="D151" s="2"/>
      <c r="E151" s="2"/>
      <c r="F151" s="2"/>
      <c r="G151" s="6"/>
      <c r="H151" s="2"/>
      <c r="I151" s="2"/>
      <c r="J151" s="4"/>
      <c r="K151" s="8"/>
      <c r="L151" s="9"/>
      <c r="M151" s="6"/>
      <c r="N151" s="2"/>
      <c r="O151" s="12"/>
      <c r="P151" s="13"/>
      <c r="Q151" s="6"/>
      <c r="R151" s="6"/>
      <c r="S151" s="6"/>
    </row>
    <row r="152" spans="4:19" ht="15.75">
      <c r="D152" s="2"/>
      <c r="E152" s="2"/>
      <c r="F152" s="2"/>
      <c r="G152" s="6"/>
      <c r="H152" s="2"/>
      <c r="I152" s="2"/>
      <c r="J152" s="4"/>
      <c r="K152" s="8"/>
      <c r="L152" s="9"/>
      <c r="M152" s="6"/>
      <c r="N152" s="2"/>
      <c r="O152" s="12"/>
      <c r="P152" s="13"/>
      <c r="Q152" s="6"/>
      <c r="R152" s="6"/>
      <c r="S152" s="6"/>
    </row>
    <row r="153" spans="4:19" ht="15.75">
      <c r="D153" s="2"/>
      <c r="E153" s="2"/>
      <c r="F153" s="2"/>
      <c r="G153" s="6"/>
      <c r="H153" s="2"/>
      <c r="I153" s="2"/>
      <c r="J153" s="4"/>
      <c r="K153" s="8"/>
      <c r="L153" s="9"/>
      <c r="M153" s="6"/>
      <c r="N153" s="2"/>
      <c r="O153" s="12"/>
      <c r="P153" s="13"/>
      <c r="Q153" s="6"/>
      <c r="R153" s="6"/>
      <c r="S153" s="6"/>
    </row>
    <row r="154" spans="4:19" ht="15.75">
      <c r="D154" s="2"/>
      <c r="E154" s="2"/>
      <c r="F154" s="2"/>
      <c r="G154" s="6"/>
      <c r="H154" s="2"/>
      <c r="I154" s="2"/>
      <c r="J154" s="4"/>
      <c r="K154" s="8"/>
      <c r="L154" s="9"/>
      <c r="M154" s="6"/>
      <c r="N154" s="2"/>
      <c r="O154" s="12"/>
      <c r="P154" s="13"/>
      <c r="Q154" s="6"/>
      <c r="R154" s="6"/>
      <c r="S154" s="6"/>
    </row>
    <row r="155" spans="4:19" ht="15.75">
      <c r="D155" s="2"/>
      <c r="E155" s="2"/>
      <c r="F155" s="2"/>
      <c r="G155" s="6"/>
      <c r="H155" s="2"/>
      <c r="I155" s="2"/>
      <c r="J155" s="4"/>
      <c r="K155" s="8"/>
      <c r="L155" s="9"/>
      <c r="M155" s="6"/>
      <c r="N155" s="2"/>
      <c r="O155" s="12"/>
      <c r="P155" s="13"/>
      <c r="Q155" s="6"/>
      <c r="R155" s="6"/>
      <c r="S155" s="6"/>
    </row>
    <row r="156" spans="4:19" ht="15.75">
      <c r="D156" s="2"/>
      <c r="E156" s="2"/>
      <c r="F156" s="2"/>
      <c r="G156" s="6"/>
      <c r="H156" s="2"/>
      <c r="I156" s="2"/>
      <c r="J156" s="4"/>
      <c r="K156" s="8"/>
      <c r="L156" s="9"/>
      <c r="M156" s="6"/>
      <c r="N156" s="2"/>
      <c r="O156" s="12"/>
      <c r="P156" s="13"/>
      <c r="Q156" s="6"/>
      <c r="R156" s="6"/>
      <c r="S156" s="6"/>
    </row>
    <row r="157" spans="4:19" ht="15.75">
      <c r="D157" s="2"/>
      <c r="E157" s="2"/>
      <c r="F157" s="2"/>
      <c r="G157" s="6"/>
      <c r="H157" s="2"/>
      <c r="I157" s="2"/>
      <c r="J157" s="4"/>
      <c r="K157" s="8"/>
      <c r="L157" s="9"/>
      <c r="M157" s="6"/>
      <c r="N157" s="2"/>
      <c r="O157" s="12"/>
      <c r="P157" s="13"/>
      <c r="Q157" s="6"/>
      <c r="R157" s="6"/>
      <c r="S157" s="6"/>
    </row>
    <row r="158" spans="4:19" ht="15.75">
      <c r="D158" s="2"/>
      <c r="E158" s="2"/>
      <c r="F158" s="2"/>
      <c r="G158" s="6"/>
      <c r="H158" s="2"/>
      <c r="I158" s="2"/>
      <c r="J158" s="4"/>
      <c r="K158" s="8"/>
      <c r="L158" s="9"/>
      <c r="M158" s="6"/>
      <c r="N158" s="2"/>
      <c r="O158" s="12"/>
      <c r="P158" s="13"/>
      <c r="Q158" s="6"/>
    </row>
    <row r="159" spans="4:19" ht="15.75">
      <c r="D159" s="2"/>
      <c r="E159" s="2"/>
      <c r="F159" s="2"/>
      <c r="G159" s="6"/>
      <c r="H159" s="2"/>
      <c r="I159" s="2"/>
      <c r="J159" s="4"/>
      <c r="K159" s="8"/>
      <c r="L159" s="9"/>
      <c r="M159" s="6"/>
      <c r="N159" s="2"/>
      <c r="O159" s="12"/>
      <c r="P159" s="13"/>
      <c r="Q159" s="6"/>
    </row>
    <row r="160" spans="4:19">
      <c r="D160" s="2"/>
      <c r="E160" s="2"/>
      <c r="R160" s="6"/>
    </row>
    <row r="161" spans="4:19" ht="15.75">
      <c r="D161" s="2"/>
      <c r="E161" s="2"/>
      <c r="F161" s="2"/>
      <c r="G161" s="6"/>
      <c r="H161" s="2"/>
      <c r="I161" s="2"/>
      <c r="J161" s="4"/>
      <c r="K161" s="6"/>
      <c r="L161" s="9"/>
      <c r="M161" s="6"/>
      <c r="N161" s="2"/>
      <c r="O161" s="12"/>
      <c r="P161" s="13"/>
      <c r="Q161" s="6"/>
      <c r="R161" s="6"/>
      <c r="S161" s="6"/>
    </row>
    <row r="162" spans="4:19" ht="15.75">
      <c r="D162" s="2"/>
      <c r="E162" s="2"/>
      <c r="F162" s="2"/>
      <c r="G162" s="6"/>
      <c r="H162" s="2"/>
      <c r="I162" s="2"/>
      <c r="J162" s="4"/>
      <c r="K162" s="6"/>
      <c r="L162" s="9"/>
      <c r="M162" s="6"/>
      <c r="N162" s="2"/>
      <c r="O162" s="12"/>
      <c r="P162" s="13"/>
      <c r="Q162" s="6"/>
      <c r="R162" s="6"/>
      <c r="S162" s="6"/>
    </row>
    <row r="163" spans="4:19" ht="15.75">
      <c r="D163" s="2"/>
      <c r="E163" s="2"/>
      <c r="F163" s="2"/>
      <c r="G163" s="6"/>
      <c r="H163" s="2"/>
      <c r="I163" s="2"/>
      <c r="J163" s="4"/>
      <c r="K163" s="6"/>
      <c r="L163" s="9"/>
      <c r="M163" s="6"/>
      <c r="N163" s="2"/>
      <c r="O163" s="12"/>
      <c r="P163" s="13"/>
      <c r="Q163" s="6"/>
      <c r="R163" s="6"/>
      <c r="S163" s="6"/>
    </row>
    <row r="164" spans="4:19" ht="15.75">
      <c r="D164" s="2"/>
      <c r="E164" s="2"/>
      <c r="F164" s="2"/>
      <c r="G164" s="6"/>
      <c r="H164" s="2"/>
      <c r="I164" s="2"/>
      <c r="J164" s="4"/>
      <c r="K164" s="6"/>
      <c r="L164" s="9"/>
      <c r="M164" s="6"/>
      <c r="N164" s="2"/>
      <c r="O164" s="12"/>
      <c r="P164" s="13"/>
      <c r="Q164" s="6"/>
      <c r="R164" s="6"/>
      <c r="S164" s="6"/>
    </row>
    <row r="165" spans="4:19" ht="15.75">
      <c r="D165" s="2"/>
      <c r="E165" s="2"/>
      <c r="F165" s="2"/>
      <c r="G165" s="6"/>
      <c r="H165" s="2"/>
      <c r="I165" s="2"/>
      <c r="J165" s="4"/>
      <c r="K165" s="6"/>
      <c r="L165" s="9"/>
      <c r="M165" s="6"/>
      <c r="N165" s="2"/>
      <c r="O165" s="12"/>
      <c r="P165" s="13"/>
      <c r="Q165" s="6"/>
      <c r="R165" s="6"/>
    </row>
    <row r="166" spans="4:19" ht="15.75">
      <c r="D166" s="2"/>
      <c r="E166" s="2"/>
      <c r="F166" s="2"/>
      <c r="G166" s="6"/>
      <c r="H166" s="2"/>
      <c r="I166" s="2"/>
      <c r="J166" s="4"/>
      <c r="K166" s="6"/>
      <c r="L166" s="9"/>
      <c r="M166" s="6"/>
      <c r="N166" s="2"/>
      <c r="O166" s="12"/>
      <c r="P166" s="13"/>
      <c r="Q166" s="6"/>
      <c r="R166" s="6"/>
    </row>
    <row r="167" spans="4:19" ht="15.75">
      <c r="D167" s="2"/>
      <c r="E167" s="2"/>
      <c r="F167" s="2"/>
      <c r="G167" s="6"/>
      <c r="H167" s="2"/>
      <c r="I167" s="2"/>
      <c r="J167" s="4"/>
      <c r="K167" s="6"/>
      <c r="L167" s="9"/>
      <c r="M167" s="6"/>
      <c r="N167" s="2"/>
      <c r="O167" s="12"/>
      <c r="P167" s="13"/>
      <c r="Q167" s="6"/>
      <c r="R167" s="6"/>
    </row>
    <row r="168" spans="4:19" ht="15.75">
      <c r="D168" s="2"/>
      <c r="E168" s="2"/>
      <c r="F168" s="2"/>
      <c r="G168" s="6"/>
      <c r="H168" s="2"/>
      <c r="I168" s="2"/>
      <c r="J168" s="4"/>
      <c r="K168" s="6"/>
      <c r="L168" s="9"/>
      <c r="M168" s="6"/>
      <c r="N168" s="2"/>
      <c r="O168" s="12"/>
      <c r="P168" s="13"/>
      <c r="Q168" s="6"/>
    </row>
    <row r="169" spans="4:19" ht="15.75">
      <c r="D169" s="2"/>
      <c r="E169" s="2"/>
      <c r="F169" s="2"/>
      <c r="G169" s="6"/>
      <c r="H169" s="2"/>
      <c r="I169" s="2"/>
      <c r="J169" s="4"/>
      <c r="K169" s="6"/>
      <c r="L169" s="9"/>
      <c r="M169" s="6"/>
      <c r="N169" s="2"/>
      <c r="O169" s="12"/>
      <c r="P169" s="13"/>
      <c r="Q169" s="6"/>
    </row>
    <row r="170" spans="4:19" ht="15.75">
      <c r="D170" s="2"/>
      <c r="E170" s="2"/>
      <c r="F170" s="2"/>
      <c r="G170" s="6"/>
      <c r="H170" s="2"/>
      <c r="I170" s="2"/>
      <c r="J170" s="4"/>
      <c r="K170" s="6"/>
      <c r="L170" s="9"/>
      <c r="M170" s="6"/>
      <c r="N170" s="2"/>
      <c r="O170" s="12"/>
      <c r="P170" s="13"/>
      <c r="Q170" s="6"/>
    </row>
    <row r="171" spans="4:19" ht="15.75">
      <c r="D171" s="2"/>
      <c r="E171" s="2"/>
      <c r="F171" s="2"/>
      <c r="G171" s="6"/>
      <c r="H171" s="2"/>
      <c r="I171" s="2"/>
      <c r="J171" s="4"/>
      <c r="K171" s="6"/>
      <c r="L171" s="9"/>
      <c r="M171" s="6"/>
      <c r="N171" s="2"/>
      <c r="O171" s="12"/>
      <c r="P171" s="13"/>
      <c r="Q171" s="6"/>
    </row>
    <row r="172" spans="4:19" ht="15.75">
      <c r="D172" s="2"/>
      <c r="E172" s="2"/>
      <c r="F172" s="2"/>
      <c r="G172" s="6"/>
      <c r="H172" s="2"/>
      <c r="I172" s="2"/>
      <c r="J172" s="4"/>
      <c r="K172" s="6"/>
      <c r="L172" s="9"/>
      <c r="M172" s="6"/>
      <c r="N172" s="2"/>
      <c r="O172" s="12"/>
      <c r="P172" s="13"/>
      <c r="Q172" s="6"/>
    </row>
    <row r="173" spans="4:19" ht="15.75">
      <c r="D173" s="2"/>
      <c r="E173" s="2"/>
      <c r="F173" s="2"/>
      <c r="G173" s="6"/>
      <c r="H173" s="2"/>
      <c r="I173" s="2"/>
      <c r="J173" s="4"/>
      <c r="K173" s="6"/>
      <c r="L173" s="9"/>
      <c r="M173" s="6"/>
      <c r="N173" s="2"/>
      <c r="O173" s="12"/>
      <c r="P173" s="13"/>
      <c r="Q173" s="6"/>
    </row>
    <row r="174" spans="4:19">
      <c r="D174" s="2"/>
      <c r="E174" s="2"/>
      <c r="R174" s="6"/>
    </row>
    <row r="175" spans="4:19" ht="15.75">
      <c r="D175" s="2"/>
      <c r="E175" s="2"/>
      <c r="F175" s="2"/>
      <c r="G175" s="6"/>
      <c r="H175" s="2"/>
      <c r="I175" s="2"/>
      <c r="J175" s="4"/>
      <c r="K175" s="6"/>
      <c r="L175" s="9"/>
      <c r="M175" s="6"/>
      <c r="N175" s="2"/>
      <c r="O175" s="12"/>
      <c r="P175" s="13"/>
      <c r="Q175" s="6"/>
      <c r="R175" s="6"/>
      <c r="S175" s="6"/>
    </row>
    <row r="176" spans="4:19" ht="15.75">
      <c r="D176" s="2"/>
      <c r="E176" s="2"/>
      <c r="F176" s="2"/>
      <c r="G176" s="6"/>
      <c r="H176" s="2"/>
      <c r="I176" s="2"/>
      <c r="J176" s="4"/>
      <c r="K176" s="6"/>
      <c r="L176" s="9"/>
      <c r="M176" s="6"/>
      <c r="N176" s="2"/>
      <c r="O176" s="12"/>
      <c r="P176" s="13"/>
      <c r="Q176" s="6"/>
      <c r="R176" s="6"/>
      <c r="S176" s="6"/>
    </row>
    <row r="177" spans="4:22" ht="15.75">
      <c r="D177" s="2"/>
      <c r="E177" s="2"/>
      <c r="F177" s="2"/>
      <c r="G177" s="6"/>
      <c r="H177" s="2"/>
      <c r="I177" s="2"/>
      <c r="J177" s="4"/>
      <c r="K177" s="6"/>
      <c r="L177" s="9"/>
      <c r="M177" s="6"/>
      <c r="N177" s="2"/>
      <c r="O177" s="12"/>
      <c r="P177" s="13"/>
      <c r="Q177" s="6"/>
      <c r="R177" s="6"/>
      <c r="S177" s="6"/>
    </row>
    <row r="178" spans="4:22" ht="15.75">
      <c r="D178" s="2"/>
      <c r="E178" s="2"/>
      <c r="F178" s="2"/>
      <c r="G178" s="6"/>
      <c r="H178" s="2"/>
      <c r="I178" s="2"/>
      <c r="J178" s="4"/>
      <c r="K178" s="6"/>
      <c r="L178" s="9"/>
      <c r="M178" s="6"/>
      <c r="N178" s="2"/>
      <c r="O178" s="12"/>
      <c r="P178" s="13"/>
      <c r="Q178" s="6"/>
      <c r="R178" s="6"/>
      <c r="S178" s="6"/>
    </row>
    <row r="179" spans="4:22" ht="15.75">
      <c r="D179" s="2"/>
      <c r="E179" s="2"/>
      <c r="F179" s="2"/>
      <c r="G179" s="6"/>
      <c r="H179" s="2"/>
      <c r="I179" s="2"/>
      <c r="J179" s="4"/>
      <c r="K179" s="6"/>
      <c r="L179" s="9"/>
      <c r="M179" s="6"/>
      <c r="N179" s="2"/>
      <c r="O179" s="12"/>
      <c r="P179" s="13"/>
      <c r="Q179" s="6"/>
      <c r="R179" s="6"/>
      <c r="S179" s="6"/>
    </row>
    <row r="180" spans="4:22" ht="15.75">
      <c r="D180" s="2"/>
      <c r="E180" s="2"/>
      <c r="F180" s="2"/>
      <c r="G180" s="6"/>
      <c r="H180" s="2"/>
      <c r="I180" s="2"/>
      <c r="J180" s="4"/>
      <c r="K180" s="6"/>
      <c r="L180" s="9"/>
      <c r="M180" s="6"/>
      <c r="N180" s="2"/>
      <c r="O180" s="12"/>
      <c r="P180" s="13"/>
      <c r="Q180" s="6"/>
      <c r="R180" s="6"/>
      <c r="S180" s="6"/>
    </row>
    <row r="181" spans="4:22" ht="15.75">
      <c r="D181" s="2"/>
      <c r="E181" s="2"/>
      <c r="F181" s="2"/>
      <c r="G181" s="6"/>
      <c r="H181" s="2"/>
      <c r="I181" s="2"/>
      <c r="J181" s="4"/>
      <c r="K181" s="6"/>
      <c r="L181" s="9"/>
      <c r="M181" s="6"/>
      <c r="N181" s="2"/>
      <c r="O181" s="12"/>
      <c r="P181" s="13"/>
      <c r="Q181" s="6"/>
      <c r="R181" s="6"/>
      <c r="S181" s="6"/>
    </row>
    <row r="182" spans="4:22" ht="15.75">
      <c r="D182" s="2"/>
      <c r="E182" s="2"/>
      <c r="F182" s="2"/>
      <c r="G182" s="6"/>
      <c r="H182" s="2"/>
      <c r="I182" s="2"/>
      <c r="J182" s="4"/>
      <c r="K182" s="6"/>
      <c r="L182" s="9"/>
      <c r="M182" s="6"/>
      <c r="N182" s="2"/>
      <c r="O182" s="12"/>
      <c r="P182" s="13"/>
      <c r="Q182" s="6"/>
      <c r="S182" s="6"/>
    </row>
    <row r="183" spans="4:22" ht="15.75">
      <c r="D183" s="2"/>
      <c r="E183" s="2"/>
      <c r="F183" s="2"/>
      <c r="G183" s="6"/>
      <c r="H183" s="2"/>
      <c r="I183" s="2"/>
      <c r="J183" s="4"/>
      <c r="K183" s="6"/>
      <c r="L183" s="9"/>
      <c r="M183" s="6"/>
      <c r="N183" s="2"/>
      <c r="O183" s="12"/>
      <c r="P183" s="13"/>
      <c r="Q183" s="6"/>
      <c r="S183" s="6"/>
    </row>
    <row r="184" spans="4:22" ht="15.75">
      <c r="D184" s="2"/>
      <c r="E184" s="2"/>
      <c r="F184" s="2"/>
      <c r="G184" s="6"/>
      <c r="H184" s="2"/>
      <c r="I184" s="2"/>
      <c r="J184" s="4"/>
      <c r="K184" s="6"/>
      <c r="L184" s="9"/>
      <c r="M184" s="6"/>
      <c r="N184" s="2"/>
      <c r="O184" s="12"/>
      <c r="P184" s="13"/>
      <c r="Q184" s="6"/>
      <c r="S184" s="6"/>
    </row>
    <row r="185" spans="4:22" ht="15.75">
      <c r="D185" s="2"/>
      <c r="E185" s="2"/>
      <c r="F185" s="2"/>
      <c r="G185" s="6"/>
      <c r="H185" s="2"/>
      <c r="I185" s="2"/>
      <c r="J185" s="4"/>
      <c r="K185" s="6"/>
      <c r="L185" s="9"/>
      <c r="M185" s="6"/>
      <c r="N185" s="2"/>
      <c r="O185" s="12"/>
      <c r="P185" s="13"/>
      <c r="Q185" s="6"/>
      <c r="S185" s="6"/>
    </row>
    <row r="186" spans="4:22" ht="15.75">
      <c r="D186" s="2"/>
      <c r="E186" s="2"/>
      <c r="F186" s="2"/>
      <c r="G186" s="6"/>
      <c r="H186" s="2"/>
      <c r="I186" s="2"/>
      <c r="J186" s="4"/>
      <c r="K186" s="6"/>
      <c r="L186" s="9"/>
      <c r="M186" s="6"/>
      <c r="N186" s="2"/>
      <c r="O186" s="12"/>
      <c r="P186" s="13"/>
      <c r="Q186" s="6"/>
      <c r="S186" s="6"/>
    </row>
    <row r="187" spans="4:22" ht="15.75">
      <c r="D187" s="2"/>
      <c r="E187" s="2"/>
      <c r="F187" s="2"/>
      <c r="G187" s="6"/>
      <c r="H187" s="2"/>
      <c r="I187" s="2"/>
      <c r="J187" s="4"/>
      <c r="K187" s="6"/>
      <c r="L187" s="9"/>
      <c r="M187" s="6"/>
      <c r="N187" s="2"/>
      <c r="O187" s="12"/>
      <c r="P187" s="13"/>
      <c r="Q187" s="6"/>
      <c r="S187" s="6"/>
    </row>
    <row r="188" spans="4:22">
      <c r="D188" s="2"/>
      <c r="E188" s="2"/>
    </row>
    <row r="189" spans="4:22" ht="15.75">
      <c r="D189" s="3"/>
      <c r="E189" s="3"/>
      <c r="F189" s="3"/>
      <c r="G189" s="4"/>
      <c r="H189" s="3"/>
      <c r="I189" s="3"/>
      <c r="J189" s="4"/>
      <c r="K189" s="4"/>
      <c r="L189" s="9"/>
      <c r="M189" s="4"/>
      <c r="N189" s="3"/>
      <c r="O189" s="12"/>
      <c r="P189" s="13"/>
      <c r="Q189" s="20"/>
    </row>
    <row r="190" spans="4:22" ht="15.75">
      <c r="D190" s="3"/>
      <c r="E190" s="3"/>
      <c r="F190" s="3"/>
      <c r="G190" s="4"/>
      <c r="H190" s="3"/>
      <c r="I190" s="3"/>
      <c r="J190" s="4"/>
      <c r="K190" s="4"/>
      <c r="L190" s="9"/>
      <c r="M190" s="4"/>
      <c r="N190" s="3"/>
      <c r="O190" s="12"/>
      <c r="P190" s="13"/>
      <c r="Q190" s="4"/>
      <c r="U190" s="6"/>
      <c r="V190" s="6"/>
    </row>
    <row r="191" spans="4:22" ht="15.75">
      <c r="D191" s="3"/>
      <c r="E191" s="3"/>
      <c r="F191" s="3"/>
      <c r="G191" s="4"/>
      <c r="H191" s="3"/>
      <c r="I191" s="3"/>
      <c r="J191" s="4"/>
      <c r="K191" s="4"/>
      <c r="L191" s="9"/>
      <c r="M191" s="4"/>
      <c r="N191" s="3"/>
      <c r="O191" s="12"/>
      <c r="P191" s="13"/>
      <c r="Q191" s="20"/>
      <c r="U191" s="6"/>
      <c r="V191" s="6"/>
    </row>
    <row r="192" spans="4:22" ht="15.75">
      <c r="D192" s="3"/>
      <c r="E192" s="3"/>
      <c r="F192" s="3"/>
      <c r="G192" s="4"/>
      <c r="H192" s="3"/>
      <c r="I192" s="3"/>
      <c r="J192" s="4"/>
      <c r="K192" s="4"/>
      <c r="L192" s="9"/>
      <c r="M192" s="4"/>
      <c r="N192" s="3"/>
      <c r="O192" s="12"/>
      <c r="P192" s="13"/>
      <c r="Q192" s="4"/>
    </row>
    <row r="193" spans="4:22" ht="15.75">
      <c r="D193" s="3"/>
      <c r="E193" s="3"/>
      <c r="F193" s="3"/>
      <c r="G193" s="4"/>
      <c r="H193" s="3"/>
      <c r="I193" s="3"/>
      <c r="J193" s="4"/>
      <c r="K193" s="4"/>
      <c r="L193" s="9"/>
      <c r="M193" s="4"/>
      <c r="N193" s="3"/>
      <c r="O193" s="12"/>
      <c r="P193" s="13"/>
      <c r="Q193" s="4"/>
      <c r="U193" s="6"/>
    </row>
    <row r="194" spans="4:22" ht="15.75">
      <c r="D194" s="3"/>
      <c r="E194" s="3"/>
      <c r="F194" s="3"/>
      <c r="G194" s="4"/>
      <c r="H194" s="3"/>
      <c r="I194" s="3"/>
      <c r="J194" s="4"/>
      <c r="K194" s="4"/>
      <c r="L194" s="9"/>
      <c r="M194" s="4"/>
      <c r="N194" s="3"/>
      <c r="O194" s="12"/>
      <c r="P194" s="13"/>
      <c r="Q194" s="4"/>
      <c r="U194" s="6"/>
      <c r="V194" s="6"/>
    </row>
    <row r="195" spans="4:22" ht="15.75">
      <c r="D195" s="3"/>
      <c r="E195" s="3"/>
      <c r="F195" s="3"/>
      <c r="G195" s="4"/>
      <c r="H195" s="3"/>
      <c r="I195" s="3"/>
      <c r="J195" s="4"/>
      <c r="K195" s="4"/>
      <c r="L195" s="9"/>
      <c r="M195" s="4"/>
      <c r="N195" s="3"/>
      <c r="O195" s="12"/>
      <c r="P195" s="13"/>
      <c r="Q195" s="4"/>
      <c r="U195" s="6"/>
      <c r="V195" s="6"/>
    </row>
    <row r="196" spans="4:22" ht="15.75">
      <c r="D196" s="3"/>
      <c r="E196" s="3"/>
      <c r="F196" s="3"/>
      <c r="G196" s="4"/>
      <c r="H196" s="3"/>
      <c r="I196" s="3"/>
      <c r="J196" s="4"/>
      <c r="K196" s="4"/>
      <c r="L196" s="9"/>
      <c r="M196" s="4"/>
      <c r="N196" s="3"/>
      <c r="O196" s="12"/>
      <c r="P196" s="13"/>
      <c r="Q196" s="4"/>
      <c r="U196" s="6"/>
    </row>
    <row r="197" spans="4:22" ht="15.75">
      <c r="D197" s="3"/>
      <c r="E197" s="3"/>
      <c r="F197" s="3"/>
      <c r="G197" s="4"/>
      <c r="H197" s="3"/>
      <c r="I197" s="3"/>
      <c r="J197" s="4"/>
      <c r="K197" s="4"/>
      <c r="L197" s="9"/>
      <c r="M197" s="4"/>
      <c r="N197" s="3"/>
      <c r="O197" s="12"/>
      <c r="P197" s="13"/>
      <c r="Q197" s="4"/>
      <c r="U197" s="6"/>
      <c r="V197" s="6"/>
    </row>
    <row r="198" spans="4:22" ht="15.75">
      <c r="D198" s="3"/>
      <c r="E198" s="3"/>
      <c r="F198" s="3"/>
      <c r="G198" s="4"/>
      <c r="H198" s="3"/>
      <c r="I198" s="3"/>
      <c r="J198" s="4"/>
      <c r="K198" s="4"/>
      <c r="L198" s="9"/>
      <c r="M198" s="4"/>
      <c r="N198" s="3"/>
      <c r="O198" s="12"/>
      <c r="P198" s="13"/>
      <c r="Q198" s="4"/>
      <c r="U198" s="6"/>
    </row>
    <row r="199" spans="4:22" ht="15.75">
      <c r="D199" s="3"/>
      <c r="E199" s="3"/>
      <c r="F199" s="3"/>
      <c r="G199" s="4"/>
      <c r="H199" s="3"/>
      <c r="I199" s="3"/>
      <c r="J199" s="4"/>
      <c r="K199" s="4"/>
      <c r="L199" s="9"/>
      <c r="M199" s="4"/>
      <c r="N199" s="3"/>
      <c r="O199" s="12"/>
      <c r="P199" s="13"/>
      <c r="Q199" s="4"/>
      <c r="U199" s="6"/>
      <c r="V199" s="6"/>
    </row>
    <row r="200" spans="4:22" ht="15.75">
      <c r="D200" s="3"/>
      <c r="E200" s="3"/>
      <c r="F200" s="3"/>
      <c r="G200" s="4"/>
      <c r="H200" s="3"/>
      <c r="I200" s="3"/>
      <c r="J200" s="4"/>
      <c r="K200" s="4"/>
      <c r="L200" s="9"/>
      <c r="M200" s="4"/>
      <c r="N200" s="3"/>
      <c r="O200" s="12"/>
      <c r="P200" s="13"/>
      <c r="Q200" s="4"/>
      <c r="U200" s="6"/>
    </row>
    <row r="201" spans="4:22" ht="15.75">
      <c r="D201" s="3"/>
      <c r="E201" s="3"/>
      <c r="F201" s="3"/>
      <c r="G201" s="4"/>
      <c r="H201" s="3"/>
      <c r="I201" s="3"/>
      <c r="J201" s="4"/>
      <c r="K201" s="4"/>
      <c r="L201" s="9"/>
      <c r="M201" s="4"/>
      <c r="N201" s="3"/>
      <c r="O201" s="12"/>
      <c r="P201" s="13"/>
      <c r="Q201" s="4"/>
      <c r="U201" s="6"/>
    </row>
    <row r="202" spans="4:22" ht="15.75">
      <c r="D202" s="3"/>
      <c r="E202" s="3"/>
      <c r="F202" s="3"/>
      <c r="G202" s="4"/>
      <c r="H202" s="3"/>
      <c r="I202" s="3"/>
      <c r="J202" s="4"/>
      <c r="K202" s="4"/>
      <c r="L202" s="9"/>
      <c r="M202" s="4"/>
      <c r="N202" s="3"/>
      <c r="O202" s="12"/>
      <c r="P202" s="13"/>
      <c r="Q202" s="4"/>
      <c r="U202" s="6"/>
    </row>
    <row r="203" spans="4:22" ht="15.75">
      <c r="D203" s="3"/>
      <c r="E203" s="3"/>
      <c r="F203" s="3"/>
      <c r="G203" s="4"/>
      <c r="H203" s="3"/>
      <c r="I203" s="3"/>
      <c r="J203" s="4"/>
      <c r="K203" s="4"/>
      <c r="L203" s="9"/>
      <c r="M203" s="4"/>
      <c r="N203" s="3"/>
      <c r="O203" s="12"/>
      <c r="P203" s="13"/>
      <c r="Q203" s="4"/>
      <c r="U203" s="6"/>
    </row>
    <row r="204" spans="4:22" ht="15.75">
      <c r="D204" s="3"/>
      <c r="E204" s="3"/>
      <c r="F204" s="3"/>
      <c r="G204" s="4"/>
      <c r="H204" s="3"/>
      <c r="I204" s="3"/>
      <c r="J204" s="4"/>
      <c r="K204" s="4"/>
      <c r="L204" s="9"/>
      <c r="M204" s="4"/>
      <c r="N204" s="3"/>
      <c r="O204" s="12"/>
      <c r="P204" s="13"/>
      <c r="Q204" s="4"/>
    </row>
    <row r="205" spans="4:22" ht="15.75">
      <c r="D205" s="3"/>
      <c r="E205" s="3"/>
      <c r="F205" s="3"/>
      <c r="G205" s="4"/>
      <c r="H205" s="3"/>
      <c r="I205" s="3"/>
      <c r="J205" s="4"/>
      <c r="K205" s="4"/>
      <c r="L205" s="9"/>
      <c r="M205" s="4"/>
      <c r="N205" s="3"/>
      <c r="O205" s="12"/>
      <c r="P205" s="13"/>
      <c r="Q205" s="4"/>
      <c r="U205" s="6"/>
      <c r="V205" s="6"/>
    </row>
    <row r="206" spans="4:22" ht="15.75">
      <c r="D206" s="3"/>
      <c r="E206" s="3"/>
      <c r="F206" s="3"/>
      <c r="G206" s="4"/>
      <c r="H206" s="3"/>
      <c r="I206" s="3"/>
      <c r="J206" s="4"/>
      <c r="K206" s="4"/>
      <c r="L206" s="9"/>
      <c r="M206" s="4"/>
      <c r="N206" s="3"/>
      <c r="O206" s="12"/>
      <c r="P206" s="13"/>
      <c r="Q206" s="4"/>
    </row>
    <row r="207" spans="4:22" ht="15.75">
      <c r="D207" s="3"/>
      <c r="E207" s="3"/>
      <c r="F207" s="3"/>
      <c r="G207" s="4"/>
      <c r="H207" s="3"/>
      <c r="I207" s="3"/>
      <c r="J207" s="4"/>
      <c r="K207" s="4"/>
      <c r="L207" s="9"/>
      <c r="M207" s="4"/>
      <c r="N207" s="3"/>
      <c r="O207" s="12"/>
      <c r="P207" s="13"/>
      <c r="Q207" s="4"/>
      <c r="U207" s="21"/>
    </row>
    <row r="208" spans="4:22" ht="15.75">
      <c r="D208" s="3"/>
      <c r="E208" s="3"/>
      <c r="F208" s="3"/>
      <c r="G208" s="4"/>
      <c r="H208" s="3"/>
      <c r="I208" s="3"/>
      <c r="J208" s="4"/>
      <c r="K208" s="4"/>
      <c r="L208" s="9"/>
      <c r="M208" s="4"/>
      <c r="N208" s="3"/>
      <c r="O208" s="12"/>
      <c r="P208" s="13"/>
      <c r="Q208" s="4"/>
      <c r="U208" s="6"/>
    </row>
    <row r="209" spans="4:22" ht="15.75">
      <c r="D209" s="3"/>
      <c r="E209" s="3"/>
      <c r="F209" s="3"/>
      <c r="G209" s="4"/>
      <c r="H209" s="3"/>
      <c r="I209" s="3"/>
      <c r="J209" s="4"/>
      <c r="K209" s="4"/>
      <c r="L209" s="9"/>
      <c r="M209" s="4"/>
      <c r="N209" s="3"/>
      <c r="O209" s="12"/>
      <c r="P209" s="13"/>
      <c r="Q209" s="4"/>
      <c r="U209" s="6"/>
    </row>
    <row r="210" spans="4:22" ht="15.75">
      <c r="D210" s="3"/>
      <c r="E210" s="3"/>
      <c r="F210" s="3"/>
      <c r="G210" s="4"/>
      <c r="H210" s="3"/>
      <c r="I210" s="3"/>
      <c r="J210" s="4"/>
      <c r="K210" s="4"/>
      <c r="L210" s="9"/>
      <c r="M210" s="4"/>
      <c r="N210" s="3"/>
      <c r="O210" s="12"/>
      <c r="P210" s="13"/>
      <c r="Q210" s="4"/>
      <c r="U210" s="6"/>
    </row>
    <row r="211" spans="4:22" ht="15.75">
      <c r="D211" s="3"/>
      <c r="E211" s="3"/>
      <c r="F211" s="3"/>
      <c r="G211" s="4"/>
      <c r="H211" s="3"/>
      <c r="I211" s="3"/>
      <c r="J211" s="4"/>
      <c r="K211" s="4"/>
      <c r="L211" s="9"/>
      <c r="M211" s="4"/>
      <c r="N211" s="3"/>
      <c r="O211" s="12"/>
      <c r="P211" s="13"/>
      <c r="Q211" s="4"/>
      <c r="U211" s="6"/>
    </row>
    <row r="212" spans="4:22" ht="15.75">
      <c r="D212" s="3"/>
      <c r="E212" s="3"/>
      <c r="F212" s="3"/>
      <c r="G212" s="4"/>
      <c r="H212" s="3"/>
      <c r="I212" s="3"/>
      <c r="J212" s="4"/>
      <c r="K212" s="4"/>
      <c r="L212" s="9"/>
      <c r="M212" s="4"/>
      <c r="N212" s="3"/>
      <c r="O212" s="12"/>
      <c r="P212" s="13"/>
      <c r="Q212" s="4"/>
      <c r="U212" s="6"/>
    </row>
    <row r="213" spans="4:22" ht="15.75">
      <c r="D213" s="3"/>
      <c r="E213" s="3"/>
      <c r="F213" s="3"/>
      <c r="G213" s="4"/>
      <c r="H213" s="3"/>
      <c r="I213" s="3"/>
      <c r="J213" s="4"/>
      <c r="K213" s="4"/>
      <c r="L213" s="9"/>
      <c r="M213" s="4"/>
      <c r="N213" s="3"/>
      <c r="O213" s="12"/>
      <c r="P213" s="13"/>
      <c r="Q213" s="4"/>
      <c r="U213" s="6"/>
    </row>
    <row r="214" spans="4:22">
      <c r="U214" s="6"/>
    </row>
    <row r="216" spans="4:22">
      <c r="U216" s="6"/>
    </row>
    <row r="220" spans="4:22">
      <c r="U220" s="6"/>
      <c r="V220" s="6"/>
    </row>
    <row r="221" spans="4:22">
      <c r="U221" s="6"/>
      <c r="V221" s="6"/>
    </row>
    <row r="222" spans="4:22">
      <c r="U222" s="6"/>
      <c r="V222" s="6"/>
    </row>
    <row r="223" spans="4:22">
      <c r="U223" s="6"/>
      <c r="V223" s="6"/>
    </row>
    <row r="224" spans="4:22">
      <c r="V224" s="6"/>
    </row>
    <row r="225" spans="21:22">
      <c r="U225" s="6"/>
      <c r="V225" s="6"/>
    </row>
    <row r="226" spans="21:22">
      <c r="V226" s="6"/>
    </row>
    <row r="227" spans="21:22">
      <c r="U227" s="6"/>
      <c r="V227" s="6"/>
    </row>
    <row r="228" spans="21:22">
      <c r="U228" s="6"/>
      <c r="V22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"/>
  <sheetViews>
    <sheetView tabSelected="1" workbookViewId="0">
      <selection activeCell="Q175" sqref="Q175:Q185"/>
    </sheetView>
  </sheetViews>
  <sheetFormatPr defaultColWidth="11.5703125" defaultRowHeight="12.75"/>
  <cols>
    <col min="2" max="2" width="14.28515625" customWidth="1"/>
    <col min="4" max="4" width="6.7109375" customWidth="1"/>
    <col min="5" max="5" width="7.140625" customWidth="1"/>
    <col min="6" max="6" width="8.85546875" bestFit="1" customWidth="1"/>
    <col min="7" max="7" width="9.7109375" customWidth="1"/>
    <col min="8" max="8" width="5.140625" bestFit="1" customWidth="1"/>
    <col min="9" max="9" width="7" bestFit="1" customWidth="1"/>
    <col min="10" max="10" width="8.42578125" bestFit="1" customWidth="1"/>
    <col min="11" max="11" width="9" bestFit="1" customWidth="1"/>
    <col min="12" max="12" width="9.7109375" customWidth="1"/>
    <col min="13" max="13" width="9.140625" customWidth="1"/>
    <col min="14" max="14" width="7.5703125" customWidth="1"/>
    <col min="15" max="15" width="6.140625" customWidth="1"/>
    <col min="16" max="16" width="10.140625" bestFit="1" customWidth="1"/>
    <col min="17" max="17" width="9" bestFit="1" customWidth="1"/>
    <col min="18" max="18" width="12.42578125" bestFit="1" customWidth="1"/>
    <col min="20" max="20" width="14" bestFit="1" customWidth="1"/>
    <col min="21" max="21" width="9.85546875" customWidth="1"/>
    <col min="22" max="22" width="13.42578125" customWidth="1"/>
    <col min="23" max="23" width="10" customWidth="1"/>
    <col min="24" max="24" width="12.42578125" bestFit="1" customWidth="1"/>
    <col min="25" max="25" width="9.5703125" bestFit="1" customWidth="1"/>
    <col min="26" max="26" width="10" customWidth="1"/>
    <col min="28" max="28" width="12.42578125" bestFit="1" customWidth="1"/>
  </cols>
  <sheetData>
    <row r="1" spans="1:35">
      <c r="A1" t="s">
        <v>0</v>
      </c>
    </row>
    <row r="2" spans="1:35">
      <c r="E2" s="6"/>
    </row>
    <row r="3" spans="1:35">
      <c r="S3" s="6"/>
    </row>
    <row r="4" spans="1:35">
      <c r="A4" t="s">
        <v>1</v>
      </c>
      <c r="B4" s="6">
        <v>5116000000000</v>
      </c>
      <c r="C4" s="1"/>
      <c r="D4" s="1"/>
      <c r="E4" s="1"/>
      <c r="F4" s="1"/>
      <c r="Y4" s="6"/>
      <c r="Z4" s="6"/>
    </row>
    <row r="5" spans="1:35">
      <c r="A5" t="s">
        <v>2</v>
      </c>
      <c r="B5" s="10">
        <v>0.44</v>
      </c>
      <c r="Q5" t="s">
        <v>20</v>
      </c>
      <c r="S5" s="14"/>
      <c r="T5" s="14"/>
      <c r="U5" s="14"/>
      <c r="Y5" s="10"/>
    </row>
    <row r="6" spans="1:35" ht="15.75">
      <c r="A6" t="s">
        <v>3</v>
      </c>
      <c r="B6" s="10">
        <v>0</v>
      </c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54</v>
      </c>
      <c r="N6" t="s">
        <v>14</v>
      </c>
      <c r="O6" t="s">
        <v>15</v>
      </c>
      <c r="P6">
        <v>100</v>
      </c>
      <c r="Q6" t="s">
        <v>16</v>
      </c>
      <c r="R6" t="s">
        <v>31</v>
      </c>
      <c r="S6" s="15"/>
      <c r="T6" s="18"/>
      <c r="U6" s="17"/>
      <c r="Y6" s="10"/>
      <c r="AC6" s="6"/>
    </row>
    <row r="7" spans="1:35" ht="15.75">
      <c r="A7" t="s">
        <v>1</v>
      </c>
      <c r="B7" s="6">
        <f>63280000000000000000*0.4</f>
        <v>2.5312E+19</v>
      </c>
      <c r="D7" s="3">
        <f>10^E7</f>
        <v>0.8784133737148857</v>
      </c>
      <c r="E7" s="3">
        <f t="shared" ref="E7:E17" si="0">LOG(J7)/(1+(F7/(I7-0.14*F7))^2)</f>
        <v>-5.6301060773806637E-2</v>
      </c>
      <c r="F7" s="3">
        <f t="shared" ref="F7:F17" si="1">LOG(G7)+H7</f>
        <v>-3.3338453403352641</v>
      </c>
      <c r="G7" s="4">
        <f t="shared" ref="G7:G17" si="2">M7*K7/L7</f>
        <v>7.3192159764536296E-4</v>
      </c>
      <c r="H7" s="3">
        <f>-0.4-0.67*LOG(J7)</f>
        <v>-0.19830990290513262</v>
      </c>
      <c r="I7" s="3">
        <f t="shared" ref="I7:I17" si="3">0.75-1.27*LOG(J7)</f>
        <v>1.1323080944932562</v>
      </c>
      <c r="J7" s="4">
        <f>(1-$B$10)*EXP(-O7/$B$11)+$B$10*EXP(-O7/$B$12)+EXP(-B$13/O7)</f>
        <v>0.5</v>
      </c>
      <c r="K7" s="4">
        <f t="shared" ref="K7:K19" si="4">$P$6*101325/760/8.314/O7/1000000</f>
        <v>5.3452958231518172E-6</v>
      </c>
      <c r="L7" s="9">
        <f>B$4*O7^B$5*EXP(-B$6/1.987/O7)</f>
        <v>62930892040738.875</v>
      </c>
      <c r="M7" s="4">
        <f t="shared" ref="M7:M17" si="5">$B$7*O7^$B$8*EXP(-$B$9/1.987/O7)</f>
        <v>8617012148178210</v>
      </c>
      <c r="N7" s="3">
        <f t="shared" ref="N7:N17" si="6">10000/O7</f>
        <v>33.333333333333336</v>
      </c>
      <c r="O7" s="12">
        <v>300</v>
      </c>
      <c r="P7" s="13"/>
      <c r="Q7" s="20">
        <f t="shared" ref="Q7:Q17" si="7">L7/(1+L7/M7/K7)*D7</f>
        <v>40430548799.833847</v>
      </c>
      <c r="R7" s="20"/>
      <c r="S7" s="6"/>
      <c r="T7" s="19"/>
      <c r="U7" s="17"/>
      <c r="V7" s="5"/>
      <c r="W7" s="9"/>
      <c r="X7" s="4"/>
      <c r="Y7" s="6"/>
      <c r="AA7" s="6"/>
      <c r="AC7" s="6"/>
      <c r="AI7" s="6"/>
    </row>
    <row r="8" spans="1:35" ht="15.75">
      <c r="A8" t="s">
        <v>2</v>
      </c>
      <c r="B8" s="11">
        <v>-1.4</v>
      </c>
      <c r="D8" s="3">
        <f>10^E8</f>
        <v>0.89099249705706096</v>
      </c>
      <c r="E8" s="3">
        <f t="shared" si="0"/>
        <v>-5.0125953090438442E-2</v>
      </c>
      <c r="F8" s="3">
        <f t="shared" si="1"/>
        <v>-3.6886713523028356</v>
      </c>
      <c r="G8" s="4">
        <f t="shared" si="2"/>
        <v>3.2332445232630033E-4</v>
      </c>
      <c r="H8" s="3">
        <f t="shared" ref="H8:H17" si="8">-0.4-0.67*LOG(J8)</f>
        <v>-0.19830990290513262</v>
      </c>
      <c r="I8" s="3">
        <f t="shared" si="3"/>
        <v>1.1323080944932562</v>
      </c>
      <c r="J8" s="4">
        <f t="shared" ref="J8:J19" si="9">(1-$B$10)*EXP(-O8/$B$11)+$B$10*EXP(-O8/$B$12)+EXP(-B$13/O8)</f>
        <v>0.5</v>
      </c>
      <c r="K8" s="4">
        <f t="shared" si="4"/>
        <v>4.0089718673638631E-6</v>
      </c>
      <c r="L8" s="9">
        <f t="shared" ref="L8:L19" si="10">B$4*O8^B$5*EXP(-B$6/1.987/O8)</f>
        <v>71422809880754.094</v>
      </c>
      <c r="M8" s="4">
        <f t="shared" si="5"/>
        <v>5760265138374527</v>
      </c>
      <c r="N8" s="3">
        <f t="shared" si="6"/>
        <v>25</v>
      </c>
      <c r="O8" s="12">
        <v>400</v>
      </c>
      <c r="P8" s="13"/>
      <c r="Q8" s="4">
        <f t="shared" si="7"/>
        <v>20568808469.225048</v>
      </c>
      <c r="R8" s="4"/>
      <c r="T8" s="19"/>
      <c r="U8" s="17"/>
      <c r="V8" s="5"/>
      <c r="W8" s="9"/>
      <c r="X8" s="4"/>
      <c r="Y8" s="6"/>
      <c r="AA8" s="6"/>
      <c r="AC8" s="6"/>
      <c r="AI8" s="6"/>
    </row>
    <row r="9" spans="1:35" ht="15.75">
      <c r="A9" t="s">
        <v>3</v>
      </c>
      <c r="B9" s="10">
        <v>0</v>
      </c>
      <c r="C9" s="1"/>
      <c r="D9" s="3">
        <f t="shared" ref="D9:D17" si="11">10^E9</f>
        <v>0.89913473988220183</v>
      </c>
      <c r="E9" s="3">
        <f t="shared" si="0"/>
        <v>-4.6175222168222362E-2</v>
      </c>
      <c r="F9" s="3">
        <f t="shared" si="1"/>
        <v>-3.9638957892457158</v>
      </c>
      <c r="G9" s="4">
        <f t="shared" si="2"/>
        <v>1.7155923999757363E-4</v>
      </c>
      <c r="H9" s="3">
        <f t="shared" si="8"/>
        <v>-0.19830990290513262</v>
      </c>
      <c r="I9" s="3">
        <f t="shared" si="3"/>
        <v>1.1323080944932562</v>
      </c>
      <c r="J9" s="4">
        <f t="shared" si="9"/>
        <v>0.5</v>
      </c>
      <c r="K9" s="4">
        <f t="shared" si="4"/>
        <v>3.2071774938910905E-6</v>
      </c>
      <c r="L9" s="9">
        <f t="shared" si="10"/>
        <v>78791131571571.406</v>
      </c>
      <c r="M9" s="4">
        <f t="shared" si="5"/>
        <v>4214717357151247.5</v>
      </c>
      <c r="N9" s="3">
        <f t="shared" si="6"/>
        <v>20</v>
      </c>
      <c r="O9" s="12">
        <v>500</v>
      </c>
      <c r="P9" s="13"/>
      <c r="Q9" s="20">
        <f t="shared" si="7"/>
        <v>12151831205.989042</v>
      </c>
      <c r="R9" s="20"/>
      <c r="S9" s="6"/>
      <c r="T9" s="19"/>
      <c r="U9" s="17"/>
      <c r="V9" s="5"/>
      <c r="W9" s="9"/>
      <c r="X9" s="4"/>
      <c r="Y9" s="6"/>
      <c r="AA9" s="6"/>
      <c r="AC9" s="6"/>
      <c r="AI9" s="6"/>
    </row>
    <row r="10" spans="1:35" ht="15.75">
      <c r="A10" t="s">
        <v>1</v>
      </c>
      <c r="B10" s="11">
        <v>0.5</v>
      </c>
      <c r="D10" s="3">
        <f t="shared" si="11"/>
        <v>0.90494297976881943</v>
      </c>
      <c r="E10" s="3">
        <f t="shared" si="0"/>
        <v>-4.3378784719565057E-2</v>
      </c>
      <c r="F10" s="3">
        <f t="shared" si="1"/>
        <v>-4.1887705280209708</v>
      </c>
      <c r="G10" s="4">
        <f t="shared" si="2"/>
        <v>1.0222082339080436E-4</v>
      </c>
      <c r="H10" s="3">
        <f t="shared" si="8"/>
        <v>-0.19830990290513262</v>
      </c>
      <c r="I10" s="3">
        <f t="shared" si="3"/>
        <v>1.1323080944932562</v>
      </c>
      <c r="J10" s="4">
        <f t="shared" si="9"/>
        <v>0.5</v>
      </c>
      <c r="K10" s="4">
        <f t="shared" si="4"/>
        <v>2.6726479115759086E-6</v>
      </c>
      <c r="L10" s="9">
        <f t="shared" si="10"/>
        <v>85372320472608.625</v>
      </c>
      <c r="M10" s="4">
        <f t="shared" si="5"/>
        <v>3265237016703768.5</v>
      </c>
      <c r="N10" s="3">
        <f t="shared" si="6"/>
        <v>16.666666666666668</v>
      </c>
      <c r="O10" s="12">
        <v>600</v>
      </c>
      <c r="P10" s="13"/>
      <c r="Q10" s="4">
        <f t="shared" si="7"/>
        <v>7896475358.5977564</v>
      </c>
      <c r="R10" s="4"/>
      <c r="S10" s="6"/>
      <c r="T10" s="19"/>
      <c r="U10" s="17"/>
      <c r="V10" s="5"/>
      <c r="W10" s="9"/>
      <c r="X10" s="4"/>
      <c r="Y10" s="6"/>
      <c r="AA10" s="6"/>
      <c r="AC10" s="6"/>
      <c r="AI10" s="6"/>
    </row>
    <row r="11" spans="1:35" ht="15.75">
      <c r="A11" t="s">
        <v>18</v>
      </c>
      <c r="B11" s="10">
        <v>1E-10</v>
      </c>
      <c r="D11" s="3">
        <f t="shared" si="11"/>
        <v>0.90935206343739883</v>
      </c>
      <c r="E11" s="3">
        <f t="shared" si="0"/>
        <v>-4.1267943393870896E-2</v>
      </c>
      <c r="F11" s="3">
        <f t="shared" si="1"/>
        <v>-4.3788994105719121</v>
      </c>
      <c r="G11" s="4">
        <f t="shared" si="2"/>
        <v>6.5979723668618749E-5</v>
      </c>
      <c r="H11" s="3">
        <f t="shared" si="8"/>
        <v>-0.19830990290513262</v>
      </c>
      <c r="I11" s="3">
        <f t="shared" si="3"/>
        <v>1.1323080944932562</v>
      </c>
      <c r="J11" s="4">
        <f t="shared" si="9"/>
        <v>0.5</v>
      </c>
      <c r="K11" s="4">
        <f t="shared" si="4"/>
        <v>2.2908410670650646E-6</v>
      </c>
      <c r="L11" s="9">
        <f t="shared" si="10"/>
        <v>91363698805302.516</v>
      </c>
      <c r="M11" s="4">
        <f t="shared" si="5"/>
        <v>2631414150541575.5</v>
      </c>
      <c r="N11" s="3">
        <f t="shared" si="6"/>
        <v>14.285714285714286</v>
      </c>
      <c r="O11" s="12">
        <v>700</v>
      </c>
      <c r="P11" s="13"/>
      <c r="Q11" s="4">
        <f t="shared" si="7"/>
        <v>5481350438.6561117</v>
      </c>
      <c r="R11" s="4"/>
      <c r="S11" s="16"/>
      <c r="T11" s="19"/>
      <c r="U11" s="17"/>
      <c r="V11" s="5"/>
      <c r="W11" s="9"/>
      <c r="X11" s="4"/>
      <c r="Y11" s="6"/>
      <c r="AA11" s="6"/>
      <c r="AC11" s="6"/>
      <c r="AI11" s="6"/>
    </row>
    <row r="12" spans="1:35" ht="15.75">
      <c r="A12" t="s">
        <v>8</v>
      </c>
      <c r="B12" s="6">
        <v>1E+30</v>
      </c>
      <c r="D12" s="3">
        <f t="shared" si="11"/>
        <v>0.91284665455408032</v>
      </c>
      <c r="E12" s="3">
        <f t="shared" si="0"/>
        <v>-3.9602171725682353E-2</v>
      </c>
      <c r="F12" s="3">
        <f t="shared" si="1"/>
        <v>-4.5435965399885427</v>
      </c>
      <c r="G12" s="4">
        <f t="shared" si="2"/>
        <v>4.5155781501052494E-5</v>
      </c>
      <c r="H12" s="3">
        <f t="shared" si="8"/>
        <v>-0.19830990290513262</v>
      </c>
      <c r="I12" s="3">
        <f t="shared" si="3"/>
        <v>1.1323080944932562</v>
      </c>
      <c r="J12" s="4">
        <f t="shared" si="9"/>
        <v>0.5</v>
      </c>
      <c r="K12" s="4">
        <f t="shared" si="4"/>
        <v>2.0044859336819316E-6</v>
      </c>
      <c r="L12" s="9">
        <f t="shared" si="10"/>
        <v>96892492962703.328</v>
      </c>
      <c r="M12" s="4">
        <f t="shared" si="5"/>
        <v>2182732324431645</v>
      </c>
      <c r="N12" s="3">
        <f t="shared" si="6"/>
        <v>12.5</v>
      </c>
      <c r="O12" s="12">
        <v>800</v>
      </c>
      <c r="P12" s="13"/>
      <c r="Q12" s="4">
        <f t="shared" si="7"/>
        <v>3993757681.4530287</v>
      </c>
      <c r="R12" s="4"/>
      <c r="S12" s="17"/>
      <c r="T12" s="19"/>
      <c r="U12" s="17"/>
      <c r="V12" s="5"/>
      <c r="W12" s="9"/>
      <c r="X12" s="4"/>
      <c r="Y12" s="6"/>
      <c r="AA12" s="6"/>
      <c r="AC12" s="6"/>
      <c r="AI12" s="6"/>
    </row>
    <row r="13" spans="1:35" ht="15.75">
      <c r="A13" t="s">
        <v>19</v>
      </c>
      <c r="B13" s="6">
        <v>1E+30</v>
      </c>
      <c r="D13" s="3">
        <f t="shared" si="11"/>
        <v>0.91570558197307128</v>
      </c>
      <c r="E13" s="3">
        <f t="shared" si="0"/>
        <v>-3.8244138425738781E-2</v>
      </c>
      <c r="F13" s="3">
        <f t="shared" si="1"/>
        <v>-4.6888697037391056</v>
      </c>
      <c r="G13" s="4">
        <f t="shared" si="2"/>
        <v>3.2317681695626125E-5</v>
      </c>
      <c r="H13" s="3">
        <f t="shared" si="8"/>
        <v>-0.19830990290513262</v>
      </c>
      <c r="I13" s="3">
        <f t="shared" si="3"/>
        <v>1.1323080944932562</v>
      </c>
      <c r="J13" s="4">
        <f t="shared" si="9"/>
        <v>0.5</v>
      </c>
      <c r="K13" s="4">
        <f t="shared" si="4"/>
        <v>1.7817652743839391E-6</v>
      </c>
      <c r="L13" s="9">
        <f t="shared" si="10"/>
        <v>102046294664777.16</v>
      </c>
      <c r="M13" s="4">
        <f t="shared" si="5"/>
        <v>1850917018424111</v>
      </c>
      <c r="N13" s="3">
        <f t="shared" si="6"/>
        <v>11.111111111111111</v>
      </c>
      <c r="O13" s="12">
        <v>900</v>
      </c>
      <c r="P13" s="13"/>
      <c r="Q13" s="4">
        <f t="shared" si="7"/>
        <v>3019807542.6894546</v>
      </c>
      <c r="R13" s="4"/>
      <c r="S13" s="6"/>
      <c r="T13" s="19"/>
      <c r="U13" s="17"/>
      <c r="V13" s="5"/>
      <c r="W13" s="9"/>
      <c r="X13" s="4"/>
      <c r="Y13" s="6"/>
      <c r="AA13" s="6"/>
      <c r="AC13" s="6"/>
      <c r="AI13" s="6"/>
    </row>
    <row r="14" spans="1:35" ht="15.75">
      <c r="D14" s="3">
        <f t="shared" si="11"/>
        <v>0.91810181977750338</v>
      </c>
      <c r="E14" s="3">
        <f t="shared" si="0"/>
        <v>-3.7109151788532628E-2</v>
      </c>
      <c r="F14" s="3">
        <f t="shared" si="1"/>
        <v>-4.8188209769314225</v>
      </c>
      <c r="G14" s="4">
        <f t="shared" si="2"/>
        <v>2.3960116533341764E-5</v>
      </c>
      <c r="H14" s="3">
        <f t="shared" si="8"/>
        <v>-0.19830990290513262</v>
      </c>
      <c r="I14" s="3">
        <f t="shared" si="3"/>
        <v>1.1323080944932562</v>
      </c>
      <c r="J14" s="4">
        <f t="shared" si="9"/>
        <v>0.5</v>
      </c>
      <c r="K14" s="4">
        <f t="shared" si="4"/>
        <v>1.6035887469455452E-6</v>
      </c>
      <c r="L14" s="9">
        <f t="shared" si="10"/>
        <v>106888390054492.66</v>
      </c>
      <c r="M14" s="4">
        <f t="shared" si="5"/>
        <v>1597079230348266.7</v>
      </c>
      <c r="N14" s="3">
        <f t="shared" si="6"/>
        <v>10</v>
      </c>
      <c r="O14" s="12">
        <v>1000</v>
      </c>
      <c r="P14" s="13"/>
      <c r="Q14" s="4">
        <f t="shared" si="7"/>
        <v>2351255932.6803203</v>
      </c>
      <c r="R14" s="4"/>
      <c r="S14" s="6"/>
      <c r="T14" s="19"/>
      <c r="U14" s="17"/>
      <c r="V14" s="5"/>
      <c r="W14" s="9"/>
      <c r="X14" s="4"/>
      <c r="Y14" s="6"/>
      <c r="AA14" s="6"/>
      <c r="AC14" s="6"/>
      <c r="AI14" s="6"/>
    </row>
    <row r="15" spans="1:35" ht="15.75">
      <c r="D15" s="3">
        <f t="shared" si="11"/>
        <v>0.92014899627393987</v>
      </c>
      <c r="E15" s="3">
        <f t="shared" si="0"/>
        <v>-3.614184328452013E-2</v>
      </c>
      <c r="F15" s="3">
        <f t="shared" si="1"/>
        <v>-4.9363762027807816</v>
      </c>
      <c r="G15" s="4">
        <f t="shared" si="2"/>
        <v>1.8278211576443116E-5</v>
      </c>
      <c r="H15" s="3">
        <f t="shared" si="8"/>
        <v>-0.19830990290513262</v>
      </c>
      <c r="I15" s="3">
        <f t="shared" si="3"/>
        <v>1.1323080944932562</v>
      </c>
      <c r="J15" s="4">
        <f t="shared" si="9"/>
        <v>0.5</v>
      </c>
      <c r="K15" s="4">
        <f t="shared" si="4"/>
        <v>1.4578079517686775E-6</v>
      </c>
      <c r="L15" s="9">
        <f t="shared" si="10"/>
        <v>111466231171731.97</v>
      </c>
      <c r="M15" s="4">
        <f t="shared" si="5"/>
        <v>1397580082145777.5</v>
      </c>
      <c r="N15" s="3">
        <f t="shared" si="6"/>
        <v>9.0909090909090917</v>
      </c>
      <c r="O15" s="12">
        <v>1100</v>
      </c>
      <c r="P15" s="13"/>
      <c r="Q15" s="4">
        <f t="shared" si="7"/>
        <v>1874680388.1307163</v>
      </c>
      <c r="R15" s="4"/>
      <c r="S15" s="6"/>
      <c r="T15" s="19"/>
      <c r="U15" s="17"/>
      <c r="V15" s="5"/>
      <c r="W15" s="9"/>
      <c r="X15" s="4"/>
      <c r="Y15" s="6"/>
      <c r="AA15" s="6"/>
      <c r="AC15" s="6"/>
      <c r="AI15" s="6"/>
    </row>
    <row r="16" spans="1:35" ht="15.75">
      <c r="D16" s="3">
        <f t="shared" si="11"/>
        <v>0.92192518968861903</v>
      </c>
      <c r="E16" s="3">
        <f t="shared" si="0"/>
        <v>-3.5304318668265777E-2</v>
      </c>
      <c r="F16" s="3">
        <f t="shared" si="1"/>
        <v>-5.0436957157066775</v>
      </c>
      <c r="G16" s="4">
        <f t="shared" si="2"/>
        <v>1.4276251402212208E-5</v>
      </c>
      <c r="H16" s="3">
        <f t="shared" si="8"/>
        <v>-0.19830990290513262</v>
      </c>
      <c r="I16" s="3">
        <f t="shared" si="3"/>
        <v>1.1323080944932562</v>
      </c>
      <c r="J16" s="4">
        <f t="shared" si="9"/>
        <v>0.5</v>
      </c>
      <c r="K16" s="4">
        <f t="shared" si="4"/>
        <v>1.3363239557879543E-6</v>
      </c>
      <c r="L16" s="9">
        <f t="shared" si="10"/>
        <v>115816459397390.31</v>
      </c>
      <c r="M16" s="4">
        <f t="shared" si="5"/>
        <v>1237293459950222.7</v>
      </c>
      <c r="N16" s="3">
        <f t="shared" si="6"/>
        <v>8.3333333333333339</v>
      </c>
      <c r="O16" s="12">
        <v>1200</v>
      </c>
      <c r="P16" s="13"/>
      <c r="Q16" s="4">
        <f t="shared" si="7"/>
        <v>1524312294.6868238</v>
      </c>
      <c r="R16" s="4"/>
      <c r="S16" s="6"/>
      <c r="T16" s="19"/>
      <c r="U16" s="17"/>
      <c r="V16" s="5"/>
      <c r="W16" s="9"/>
      <c r="X16" s="4"/>
      <c r="Y16" s="6"/>
      <c r="AA16" s="6"/>
      <c r="AC16" s="6"/>
      <c r="AI16" s="6"/>
    </row>
    <row r="17" spans="1:35" ht="15.75">
      <c r="A17" t="s">
        <v>17</v>
      </c>
      <c r="D17" s="3">
        <f t="shared" si="11"/>
        <v>0.92348603396616546</v>
      </c>
      <c r="E17" s="3">
        <f t="shared" si="0"/>
        <v>-3.4569668082204318E-2</v>
      </c>
      <c r="F17" s="3">
        <f t="shared" si="1"/>
        <v>-5.1424200974828391</v>
      </c>
      <c r="G17" s="4">
        <f t="shared" si="2"/>
        <v>1.1373386695482429E-5</v>
      </c>
      <c r="H17" s="3">
        <f t="shared" si="8"/>
        <v>-0.19830990290513262</v>
      </c>
      <c r="I17" s="3">
        <f t="shared" si="3"/>
        <v>1.1323080944932562</v>
      </c>
      <c r="J17" s="4">
        <f t="shared" si="9"/>
        <v>0.5</v>
      </c>
      <c r="K17" s="4">
        <f t="shared" si="4"/>
        <v>1.233529805342727E-6</v>
      </c>
      <c r="L17" s="9">
        <f t="shared" si="10"/>
        <v>119968053059570.45</v>
      </c>
      <c r="M17" s="4">
        <f t="shared" si="5"/>
        <v>1106128974460854.9</v>
      </c>
      <c r="N17" s="3">
        <f t="shared" si="6"/>
        <v>7.6923076923076925</v>
      </c>
      <c r="O17" s="12">
        <v>1300</v>
      </c>
      <c r="P17" s="13"/>
      <c r="Q17" s="4">
        <f t="shared" si="7"/>
        <v>1260029777.907691</v>
      </c>
      <c r="R17" s="4"/>
      <c r="S17" s="6"/>
      <c r="T17" s="19"/>
      <c r="U17" s="17"/>
      <c r="V17" s="5"/>
      <c r="W17" s="9"/>
      <c r="X17" s="4"/>
      <c r="Y17" s="6"/>
      <c r="AA17" s="6"/>
      <c r="AC17" s="6"/>
      <c r="AI17" s="6"/>
    </row>
    <row r="18" spans="1:35" ht="15.75">
      <c r="A18" s="6"/>
      <c r="D18" s="3">
        <f>10^E18</f>
        <v>0.92611496163478624</v>
      </c>
      <c r="E18" s="3">
        <f>LOG(J18)/(1+(F18/(I18-0.14*F18))^2)</f>
        <v>-3.3335099598111366E-2</v>
      </c>
      <c r="F18" s="3">
        <f>LOG(G18)+H18</f>
        <v>-5.3189201526495582</v>
      </c>
      <c r="G18" s="4">
        <f>M18*K18/L18</f>
        <v>7.5751240679627138E-6</v>
      </c>
      <c r="H18" s="3">
        <f>-0.4-0.67*LOG(J18)</f>
        <v>-0.19830990290513262</v>
      </c>
      <c r="I18" s="3">
        <f>0.75-1.27*LOG(J18)</f>
        <v>1.1323080944932562</v>
      </c>
      <c r="J18" s="4">
        <f t="shared" si="9"/>
        <v>0.5</v>
      </c>
      <c r="K18" s="4">
        <f t="shared" si="4"/>
        <v>1.0690591646303636E-6</v>
      </c>
      <c r="L18" s="9">
        <f t="shared" si="10"/>
        <v>127764644176961.8</v>
      </c>
      <c r="M18" s="4">
        <f>$B$7*O18^$B$8*EXP(-$B$9/1.987/O18)</f>
        <v>905312879923004.25</v>
      </c>
      <c r="N18" s="3">
        <f>10000/O18</f>
        <v>6.666666666666667</v>
      </c>
      <c r="O18" s="12">
        <v>1500</v>
      </c>
      <c r="P18" s="13"/>
      <c r="Q18" s="4">
        <f>L18/(1+L18/M18/K18)*D18</f>
        <v>896317860.78372562</v>
      </c>
      <c r="R18" s="4"/>
      <c r="S18" s="6"/>
      <c r="T18" s="19"/>
      <c r="U18" s="17"/>
      <c r="V18" s="5"/>
      <c r="W18" s="9"/>
      <c r="X18" s="4"/>
      <c r="Y18" s="6"/>
      <c r="AA18" s="6"/>
      <c r="AC18" s="6"/>
    </row>
    <row r="19" spans="1:35" ht="15.75">
      <c r="D19" s="3">
        <f>10^E19</f>
        <v>0.92919241667525354</v>
      </c>
      <c r="E19" s="3">
        <f>LOG(J19)/(1+(F19/(I19-0.14*F19))^2)</f>
        <v>-3.1894343221275705E-2</v>
      </c>
      <c r="F19" s="3">
        <f>LOG(G19)+H19</f>
        <v>-5.5437948914248123</v>
      </c>
      <c r="G19" s="4">
        <f>M19*K19/L19</f>
        <v>4.5135162613543855E-6</v>
      </c>
      <c r="H19" s="3">
        <f>-0.4-0.67*LOG(J19)</f>
        <v>-0.19830990290513262</v>
      </c>
      <c r="I19" s="3">
        <f>0.75-1.27*LOG(J19)</f>
        <v>1.1323080944932562</v>
      </c>
      <c r="J19" s="4">
        <f t="shared" si="9"/>
        <v>0.5</v>
      </c>
      <c r="K19" s="4">
        <f t="shared" si="4"/>
        <v>8.9088263719196957E-7</v>
      </c>
      <c r="L19" s="9">
        <f t="shared" si="10"/>
        <v>138436444942236.94</v>
      </c>
      <c r="M19" s="4">
        <f>$B$7*O19^$B$8*EXP(-$B$9/1.987/O19)</f>
        <v>701366397015364.12</v>
      </c>
      <c r="N19" s="3">
        <f>10000/O19</f>
        <v>5.5555555555555554</v>
      </c>
      <c r="O19" s="12">
        <v>1800</v>
      </c>
      <c r="P19" s="13"/>
      <c r="Q19" s="4">
        <f>L19/(1+L19/M19/K19)*D19</f>
        <v>580589458.28800559</v>
      </c>
      <c r="R19" s="4"/>
      <c r="S19" s="6"/>
      <c r="T19" s="19"/>
      <c r="U19" s="17"/>
      <c r="V19" s="5"/>
      <c r="W19" s="9"/>
      <c r="X19" s="4"/>
      <c r="Y19" s="6"/>
      <c r="AA19" s="6"/>
      <c r="AC19" s="6"/>
      <c r="AI19" s="6"/>
    </row>
    <row r="20" spans="1:35">
      <c r="D20" s="2" t="s">
        <v>4</v>
      </c>
      <c r="E20" s="2" t="s">
        <v>5</v>
      </c>
      <c r="F20" t="s">
        <v>6</v>
      </c>
      <c r="G20" s="6" t="s">
        <v>7</v>
      </c>
      <c r="H20" s="2" t="s">
        <v>8</v>
      </c>
      <c r="I20" t="s">
        <v>9</v>
      </c>
      <c r="J20" t="s">
        <v>10</v>
      </c>
      <c r="K20" s="6" t="s">
        <v>11</v>
      </c>
      <c r="L20" s="6" t="s">
        <v>12</v>
      </c>
      <c r="M20" s="6" t="s">
        <v>13</v>
      </c>
      <c r="N20" s="2" t="s">
        <v>14</v>
      </c>
      <c r="P20">
        <v>380</v>
      </c>
      <c r="Q20" s="6" t="s">
        <v>16</v>
      </c>
      <c r="S20" s="6"/>
      <c r="Y20" s="6"/>
      <c r="AI20" s="6"/>
    </row>
    <row r="21" spans="1:35" ht="15.75">
      <c r="D21" s="7">
        <f t="shared" ref="D21:D31" si="12">10^E21</f>
        <v>0.85087219712532092</v>
      </c>
      <c r="E21" s="7">
        <f t="shared" ref="E21:E31" si="13">LOG(J21)/(1+(F21/(I21-0.14*F21))^2)</f>
        <v>-7.0135667002901525E-2</v>
      </c>
      <c r="F21" s="7">
        <f t="shared" ref="F21:F31" si="14">LOG(G21)+H21</f>
        <v>-2.754061743718454</v>
      </c>
      <c r="G21" s="8">
        <f t="shared" ref="G21:G31" si="15">M21*K21/L21</f>
        <v>2.7813020710523795E-3</v>
      </c>
      <c r="H21" s="7">
        <f>-0.4-0.67*LOG(J21)</f>
        <v>-0.19830990290513262</v>
      </c>
      <c r="I21" s="7">
        <f t="shared" ref="I21:I31" si="16">0.75-1.27*LOG(J21)</f>
        <v>1.1323080944932562</v>
      </c>
      <c r="J21" s="4">
        <f>(1-$B$10)*EXP(-O21/$B$11)+$B$10*EXP(-O21/$B$12)+EXP(-B$13/O21)</f>
        <v>0.5</v>
      </c>
      <c r="K21" s="8">
        <f t="shared" ref="K21:K33" si="17">$P$20*101325/760/8.314/O21/1000000</f>
        <v>2.0312124127976908E-5</v>
      </c>
      <c r="L21" s="9">
        <f>B$4*O21^B$5*EXP(-B$6/1.987/O21)</f>
        <v>62930892040738.875</v>
      </c>
      <c r="M21" s="8">
        <f t="shared" ref="M21:M31" si="18">$B$7*O21^$B$8*EXP(-$B$9/1.987/O21)</f>
        <v>8617012148178210</v>
      </c>
      <c r="N21" s="7">
        <f t="shared" ref="N21:N31" si="19">10000/O21</f>
        <v>33.333333333333336</v>
      </c>
      <c r="O21" s="12">
        <v>300</v>
      </c>
      <c r="P21" s="13"/>
      <c r="Q21" s="8">
        <f t="shared" ref="Q21:Q31" si="20">L21/(1+L21/M21/K21)*D21</f>
        <v>148514942899.06998</v>
      </c>
      <c r="R21" s="8"/>
      <c r="S21" s="6"/>
      <c r="AI21" s="6"/>
    </row>
    <row r="22" spans="1:35" ht="15.75">
      <c r="D22" s="7">
        <f t="shared" si="12"/>
        <v>0.86892239337508081</v>
      </c>
      <c r="E22" s="7">
        <f t="shared" si="13"/>
        <v>-6.1019010241823761E-2</v>
      </c>
      <c r="F22" s="7">
        <f t="shared" si="14"/>
        <v>-3.1088877556860255</v>
      </c>
      <c r="G22" s="8">
        <f t="shared" si="15"/>
        <v>1.2286329188399411E-3</v>
      </c>
      <c r="H22" s="7">
        <f t="shared" ref="H22:H31" si="21">-0.4-0.67*LOG(J22)</f>
        <v>-0.19830990290513262</v>
      </c>
      <c r="I22" s="7">
        <f t="shared" si="16"/>
        <v>1.1323080944932562</v>
      </c>
      <c r="J22" s="4">
        <f t="shared" ref="J22:J33" si="22">(1-$B$10)*EXP(-O22/$B$11)+$B$10*EXP(-O22/$B$12)+EXP(-B$13/O22)</f>
        <v>0.5</v>
      </c>
      <c r="K22" s="8">
        <f t="shared" si="17"/>
        <v>1.523409309598268E-5</v>
      </c>
      <c r="L22" s="9">
        <f t="shared" ref="L22:L33" si="23">B$4*O22^B$5*EXP(-B$6/1.987/O22)</f>
        <v>71422809880754.094</v>
      </c>
      <c r="M22" s="8">
        <f t="shared" si="18"/>
        <v>5760265138374527</v>
      </c>
      <c r="N22" s="7">
        <f t="shared" si="19"/>
        <v>25</v>
      </c>
      <c r="O22" s="12">
        <v>400</v>
      </c>
      <c r="P22" s="13"/>
      <c r="Q22" s="20">
        <f t="shared" si="20"/>
        <v>76156470445.986816</v>
      </c>
      <c r="R22" s="20"/>
      <c r="S22" s="6"/>
      <c r="AI22" s="6"/>
    </row>
    <row r="23" spans="1:35" ht="15.75">
      <c r="D23" s="7">
        <f t="shared" si="12"/>
        <v>0.88036039680079847</v>
      </c>
      <c r="E23" s="7">
        <f t="shared" si="13"/>
        <v>-5.5339502508664193E-2</v>
      </c>
      <c r="F23" s="7">
        <f t="shared" si="14"/>
        <v>-3.3841121926289057</v>
      </c>
      <c r="G23" s="8">
        <f t="shared" si="15"/>
        <v>6.5192511199077974E-4</v>
      </c>
      <c r="H23" s="7">
        <f t="shared" si="21"/>
        <v>-0.19830990290513262</v>
      </c>
      <c r="I23" s="7">
        <f t="shared" si="16"/>
        <v>1.1323080944932562</v>
      </c>
      <c r="J23" s="4">
        <f t="shared" si="22"/>
        <v>0.5</v>
      </c>
      <c r="K23" s="8">
        <f t="shared" si="17"/>
        <v>1.2187274476786143E-5</v>
      </c>
      <c r="L23" s="9">
        <f t="shared" si="23"/>
        <v>78791131571571.406</v>
      </c>
      <c r="M23" s="8">
        <f t="shared" si="18"/>
        <v>4214717357151247.5</v>
      </c>
      <c r="N23" s="7">
        <f t="shared" si="19"/>
        <v>20</v>
      </c>
      <c r="O23" s="12">
        <v>500</v>
      </c>
      <c r="P23" s="13"/>
      <c r="Q23" s="8">
        <f t="shared" si="20"/>
        <v>45191058127.460495</v>
      </c>
      <c r="R23" s="8"/>
      <c r="S23" s="6"/>
      <c r="AI23" s="6"/>
    </row>
    <row r="24" spans="1:35" ht="15.75">
      <c r="D24" s="7">
        <f t="shared" si="12"/>
        <v>0.88839038062887155</v>
      </c>
      <c r="E24" s="7">
        <f t="shared" si="13"/>
        <v>-5.1396152580134843E-2</v>
      </c>
      <c r="F24" s="7">
        <f t="shared" si="14"/>
        <v>-3.6089869314041603</v>
      </c>
      <c r="G24" s="8">
        <f t="shared" si="15"/>
        <v>3.8843912888505662E-4</v>
      </c>
      <c r="H24" s="7">
        <f t="shared" si="21"/>
        <v>-0.19830990290513262</v>
      </c>
      <c r="I24" s="7">
        <f t="shared" si="16"/>
        <v>1.1323080944932562</v>
      </c>
      <c r="J24" s="4">
        <f t="shared" si="22"/>
        <v>0.5</v>
      </c>
      <c r="K24" s="8">
        <f t="shared" si="17"/>
        <v>1.0156062063988454E-5</v>
      </c>
      <c r="L24" s="9">
        <f t="shared" si="23"/>
        <v>85372320472608.625</v>
      </c>
      <c r="M24" s="8">
        <f t="shared" si="18"/>
        <v>3265237016703768.5</v>
      </c>
      <c r="N24" s="7">
        <f t="shared" si="19"/>
        <v>16.666666666666668</v>
      </c>
      <c r="O24" s="12">
        <v>600</v>
      </c>
      <c r="P24" s="13"/>
      <c r="Q24" s="20">
        <f t="shared" si="20"/>
        <v>29449317933.61636</v>
      </c>
      <c r="R24" s="20"/>
      <c r="S24" s="6"/>
      <c r="AI24" s="6"/>
    </row>
    <row r="25" spans="1:35" ht="15.75">
      <c r="D25" s="7">
        <f t="shared" si="12"/>
        <v>0.89440994130633789</v>
      </c>
      <c r="E25" s="7">
        <f t="shared" si="13"/>
        <v>-4.8463382276870109E-2</v>
      </c>
      <c r="F25" s="7">
        <f t="shared" si="14"/>
        <v>-3.7991158139551016</v>
      </c>
      <c r="G25" s="8">
        <f t="shared" si="15"/>
        <v>2.5072294994075127E-4</v>
      </c>
      <c r="H25" s="7">
        <f t="shared" si="21"/>
        <v>-0.19830990290513262</v>
      </c>
      <c r="I25" s="7">
        <f t="shared" si="16"/>
        <v>1.1323080944932562</v>
      </c>
      <c r="J25" s="4">
        <f t="shared" si="22"/>
        <v>0.5</v>
      </c>
      <c r="K25" s="8">
        <f t="shared" si="17"/>
        <v>8.7051960548472451E-6</v>
      </c>
      <c r="L25" s="9">
        <f t="shared" si="23"/>
        <v>91363698805302.516</v>
      </c>
      <c r="M25" s="8">
        <f t="shared" si="18"/>
        <v>2631414150541575.5</v>
      </c>
      <c r="N25" s="7">
        <f t="shared" si="19"/>
        <v>14.285714285714286</v>
      </c>
      <c r="O25" s="12">
        <v>700</v>
      </c>
      <c r="P25" s="13"/>
      <c r="Q25" s="8">
        <f t="shared" si="20"/>
        <v>20483091551.837086</v>
      </c>
      <c r="R25" s="8"/>
      <c r="S25" s="6"/>
      <c r="AI25" s="6"/>
    </row>
    <row r="26" spans="1:35" ht="15.75">
      <c r="D26" s="7">
        <f t="shared" si="12"/>
        <v>0.89913246946802439</v>
      </c>
      <c r="E26" s="7">
        <f t="shared" si="13"/>
        <v>-4.6176318810972408E-2</v>
      </c>
      <c r="F26" s="7">
        <f t="shared" si="14"/>
        <v>-3.9638129433717317</v>
      </c>
      <c r="G26" s="8">
        <f t="shared" si="15"/>
        <v>1.7159196970399952E-4</v>
      </c>
      <c r="H26" s="7">
        <f t="shared" si="21"/>
        <v>-0.19830990290513262</v>
      </c>
      <c r="I26" s="7">
        <f t="shared" si="16"/>
        <v>1.1323080944932562</v>
      </c>
      <c r="J26" s="4">
        <f t="shared" si="22"/>
        <v>0.5</v>
      </c>
      <c r="K26" s="8">
        <f t="shared" si="17"/>
        <v>7.6170465479913399E-6</v>
      </c>
      <c r="L26" s="9">
        <f t="shared" si="23"/>
        <v>96892492962703.328</v>
      </c>
      <c r="M26" s="8">
        <f t="shared" si="18"/>
        <v>2182732324431645</v>
      </c>
      <c r="N26" s="7">
        <f t="shared" si="19"/>
        <v>12.5</v>
      </c>
      <c r="O26" s="12">
        <v>800</v>
      </c>
      <c r="P26" s="13"/>
      <c r="Q26" s="8">
        <f t="shared" si="20"/>
        <v>14946388125.299353</v>
      </c>
      <c r="R26" s="8"/>
      <c r="S26" s="6"/>
      <c r="AI26" s="6"/>
    </row>
    <row r="27" spans="1:35" ht="15.75">
      <c r="D27" s="7">
        <f t="shared" si="12"/>
        <v>0.9029631225014606</v>
      </c>
      <c r="E27" s="7">
        <f t="shared" si="13"/>
        <v>-4.4329986144038401E-2</v>
      </c>
      <c r="F27" s="7">
        <f t="shared" si="14"/>
        <v>-4.1090861071222955</v>
      </c>
      <c r="G27" s="8">
        <f t="shared" si="15"/>
        <v>1.2280719044337928E-4</v>
      </c>
      <c r="H27" s="7">
        <f t="shared" si="21"/>
        <v>-0.19830990290513262</v>
      </c>
      <c r="I27" s="7">
        <f t="shared" si="16"/>
        <v>1.1323080944932562</v>
      </c>
      <c r="J27" s="4">
        <f t="shared" si="22"/>
        <v>0.5</v>
      </c>
      <c r="K27" s="8">
        <f t="shared" si="17"/>
        <v>6.7707080426589692E-6</v>
      </c>
      <c r="L27" s="9">
        <f t="shared" si="23"/>
        <v>102046294664777.16</v>
      </c>
      <c r="M27" s="8">
        <f t="shared" si="18"/>
        <v>1850917018424111</v>
      </c>
      <c r="N27" s="7">
        <f t="shared" si="19"/>
        <v>11.111111111111111</v>
      </c>
      <c r="O27" s="12">
        <v>900</v>
      </c>
      <c r="P27" s="13"/>
      <c r="Q27" s="8">
        <f t="shared" si="20"/>
        <v>11314561265.890404</v>
      </c>
      <c r="R27" s="8"/>
      <c r="S27" s="6"/>
      <c r="AI27" s="6"/>
    </row>
    <row r="28" spans="1:35" ht="15.75">
      <c r="D28" s="7">
        <f t="shared" si="12"/>
        <v>0.90615051985233563</v>
      </c>
      <c r="E28" s="7">
        <f t="shared" si="13"/>
        <v>-4.2799656063016542E-2</v>
      </c>
      <c r="F28" s="7">
        <f t="shared" si="14"/>
        <v>-4.2390373803146133</v>
      </c>
      <c r="G28" s="8">
        <f t="shared" si="15"/>
        <v>9.104844282669869E-5</v>
      </c>
      <c r="H28" s="7">
        <f t="shared" si="21"/>
        <v>-0.19830990290513262</v>
      </c>
      <c r="I28" s="7">
        <f t="shared" si="16"/>
        <v>1.1323080944932562</v>
      </c>
      <c r="J28" s="4">
        <f t="shared" si="22"/>
        <v>0.5</v>
      </c>
      <c r="K28" s="8">
        <f t="shared" si="17"/>
        <v>6.0936372383930717E-6</v>
      </c>
      <c r="L28" s="9">
        <f t="shared" si="23"/>
        <v>106888390054492.66</v>
      </c>
      <c r="M28" s="8">
        <f t="shared" si="18"/>
        <v>1597079230348266.7</v>
      </c>
      <c r="N28" s="7">
        <f t="shared" si="19"/>
        <v>10</v>
      </c>
      <c r="O28" s="12">
        <v>1000</v>
      </c>
      <c r="P28" s="13"/>
      <c r="Q28" s="8">
        <f t="shared" si="20"/>
        <v>8817873461.2542057</v>
      </c>
      <c r="R28" s="8"/>
      <c r="S28" s="6"/>
      <c r="AI28" s="6"/>
    </row>
    <row r="29" spans="1:35" ht="15.75">
      <c r="D29" s="7">
        <f t="shared" si="12"/>
        <v>0.90885645998440689</v>
      </c>
      <c r="E29" s="7">
        <f t="shared" si="13"/>
        <v>-4.1504701551589959E-2</v>
      </c>
      <c r="F29" s="7">
        <f t="shared" si="14"/>
        <v>-4.3565926061639715</v>
      </c>
      <c r="G29" s="8">
        <f t="shared" si="15"/>
        <v>6.9457203990483843E-5</v>
      </c>
      <c r="H29" s="7">
        <f t="shared" si="21"/>
        <v>-0.19830990290513262</v>
      </c>
      <c r="I29" s="7">
        <f t="shared" si="16"/>
        <v>1.1323080944932562</v>
      </c>
      <c r="J29" s="4">
        <f t="shared" si="22"/>
        <v>0.5</v>
      </c>
      <c r="K29" s="8">
        <f t="shared" si="17"/>
        <v>5.539670216720975E-6</v>
      </c>
      <c r="L29" s="9">
        <f t="shared" si="23"/>
        <v>111466231171731.97</v>
      </c>
      <c r="M29" s="8">
        <f t="shared" si="18"/>
        <v>1397580082145777.5</v>
      </c>
      <c r="N29" s="7">
        <f t="shared" si="19"/>
        <v>9.0909090909090917</v>
      </c>
      <c r="O29" s="12">
        <v>1100</v>
      </c>
      <c r="P29" s="13"/>
      <c r="Q29" s="8">
        <f t="shared" si="20"/>
        <v>7035998669.0483532</v>
      </c>
      <c r="R29" s="8"/>
      <c r="S29" s="6"/>
      <c r="AI29" s="6"/>
    </row>
    <row r="30" spans="1:35" ht="15.75">
      <c r="D30" s="7">
        <f t="shared" si="12"/>
        <v>0.91119121684125148</v>
      </c>
      <c r="E30" s="7">
        <f t="shared" si="13"/>
        <v>-4.0390475162233444E-2</v>
      </c>
      <c r="F30" s="7">
        <f t="shared" si="14"/>
        <v>-4.4639121190898674</v>
      </c>
      <c r="G30" s="8">
        <f t="shared" si="15"/>
        <v>5.424975532840639E-5</v>
      </c>
      <c r="H30" s="7">
        <f t="shared" si="21"/>
        <v>-0.19830990290513262</v>
      </c>
      <c r="I30" s="7">
        <f t="shared" si="16"/>
        <v>1.1323080944932562</v>
      </c>
      <c r="J30" s="4">
        <f t="shared" si="22"/>
        <v>0.5</v>
      </c>
      <c r="K30" s="8">
        <f t="shared" si="17"/>
        <v>5.0780310319942269E-6</v>
      </c>
      <c r="L30" s="9">
        <f t="shared" si="23"/>
        <v>115816459397390.31</v>
      </c>
      <c r="M30" s="8">
        <f t="shared" si="18"/>
        <v>1237293459950222.7</v>
      </c>
      <c r="N30" s="7">
        <f t="shared" si="19"/>
        <v>8.3333333333333339</v>
      </c>
      <c r="O30" s="12">
        <v>1200</v>
      </c>
      <c r="P30" s="13"/>
      <c r="Q30" s="8">
        <f t="shared" si="20"/>
        <v>5724717140.9164028</v>
      </c>
      <c r="R30" s="8"/>
      <c r="S30" s="6"/>
    </row>
    <row r="31" spans="1:35" ht="15.75">
      <c r="D31" s="7">
        <f t="shared" si="12"/>
        <v>0.91323280118226946</v>
      </c>
      <c r="E31" s="7">
        <f t="shared" si="13"/>
        <v>-3.9418498061537015E-2</v>
      </c>
      <c r="F31" s="7">
        <f t="shared" si="14"/>
        <v>-4.562636500866029</v>
      </c>
      <c r="G31" s="8">
        <f t="shared" si="15"/>
        <v>4.3218869442833232E-5</v>
      </c>
      <c r="H31" s="7">
        <f t="shared" si="21"/>
        <v>-0.19830990290513262</v>
      </c>
      <c r="I31" s="7">
        <f t="shared" si="16"/>
        <v>1.1323080944932562</v>
      </c>
      <c r="J31" s="4">
        <f t="shared" si="22"/>
        <v>0.5</v>
      </c>
      <c r="K31" s="8">
        <f t="shared" si="17"/>
        <v>4.6874132603023633E-6</v>
      </c>
      <c r="L31" s="9">
        <f t="shared" si="23"/>
        <v>119968053059570.45</v>
      </c>
      <c r="M31" s="8">
        <f t="shared" si="18"/>
        <v>1106128974460854.9</v>
      </c>
      <c r="N31" s="7">
        <f t="shared" si="19"/>
        <v>7.6923076923076925</v>
      </c>
      <c r="O31" s="12">
        <v>1300</v>
      </c>
      <c r="P31" s="13"/>
      <c r="Q31" s="8">
        <f t="shared" si="20"/>
        <v>4734801161.6196241</v>
      </c>
      <c r="R31" s="8"/>
      <c r="S31" s="6"/>
      <c r="AI31" s="6"/>
    </row>
    <row r="32" spans="1:35" ht="15.75">
      <c r="D32" s="7">
        <f>10^E32</f>
        <v>0.91664977010551651</v>
      </c>
      <c r="E32" s="7">
        <f>LOG(J32)/(1+(F32/(I32-0.14*F32))^2)</f>
        <v>-3.7796566144928677E-2</v>
      </c>
      <c r="F32" s="7">
        <f>LOG(G32)+H32</f>
        <v>-4.7391365560327481</v>
      </c>
      <c r="G32" s="8">
        <f>M32*K32/L32</f>
        <v>2.8785471458258314E-5</v>
      </c>
      <c r="H32" s="7">
        <f>-0.4-0.67*LOG(J32)</f>
        <v>-0.19830990290513262</v>
      </c>
      <c r="I32" s="7">
        <f>0.75-1.27*LOG(J32)</f>
        <v>1.1323080944932562</v>
      </c>
      <c r="J32" s="4">
        <f t="shared" si="22"/>
        <v>0.5</v>
      </c>
      <c r="K32" s="8">
        <f t="shared" si="17"/>
        <v>4.0624248255953812E-6</v>
      </c>
      <c r="L32" s="9">
        <f t="shared" si="23"/>
        <v>127764644176961.8</v>
      </c>
      <c r="M32" s="8">
        <f>$B$7*O32^$B$8*EXP(-$B$9/1.987/O32)</f>
        <v>905312879923004.25</v>
      </c>
      <c r="N32" s="7">
        <f>10000/O32</f>
        <v>6.666666666666667</v>
      </c>
      <c r="O32" s="12">
        <v>1500</v>
      </c>
      <c r="P32" s="13"/>
      <c r="Q32" s="8">
        <f>L32/(1+L32/M32/K32)*D32</f>
        <v>3371125877.4318871</v>
      </c>
      <c r="R32" s="8"/>
      <c r="S32" s="6"/>
      <c r="Y32" s="6"/>
      <c r="AI32" s="6"/>
    </row>
    <row r="33" spans="4:44" ht="15.75">
      <c r="D33" s="7">
        <f>10^E33</f>
        <v>0.92061457816625192</v>
      </c>
      <c r="E33" s="7">
        <f>LOG(J33)/(1+(F33/(I33-0.14*F33))^2)</f>
        <v>-3.5922152223892244E-2</v>
      </c>
      <c r="F33" s="7">
        <f>LOG(G33)+H33</f>
        <v>-4.9640112948080022</v>
      </c>
      <c r="G33" s="8">
        <f>M33*K33/L33</f>
        <v>1.7151361793146666E-5</v>
      </c>
      <c r="H33" s="7">
        <f>-0.4-0.67*LOG(J33)</f>
        <v>-0.19830990290513262</v>
      </c>
      <c r="I33" s="7">
        <f>0.75-1.27*LOG(J33)</f>
        <v>1.1323080944932562</v>
      </c>
      <c r="J33" s="4">
        <f t="shared" si="22"/>
        <v>0.5</v>
      </c>
      <c r="K33" s="8">
        <f t="shared" si="17"/>
        <v>3.3853540213294846E-6</v>
      </c>
      <c r="L33" s="9">
        <f t="shared" si="23"/>
        <v>138436444942236.94</v>
      </c>
      <c r="M33" s="8">
        <f>$B$7*O33^$B$8*EXP(-$B$9/1.987/O33)</f>
        <v>701366397015364.12</v>
      </c>
      <c r="N33" s="7">
        <f>10000/O33</f>
        <v>5.5555555555555554</v>
      </c>
      <c r="O33" s="12">
        <v>1800</v>
      </c>
      <c r="P33" s="13"/>
      <c r="Q33" s="8">
        <f>L33/(1+L33/M33/K33)*D33</f>
        <v>2185845416.2747998</v>
      </c>
      <c r="R33" s="8"/>
      <c r="S33" s="6"/>
      <c r="Y33" s="10"/>
      <c r="AI33" s="6"/>
    </row>
    <row r="34" spans="4:44">
      <c r="D34" s="2" t="s">
        <v>4</v>
      </c>
      <c r="E34" s="2" t="s">
        <v>5</v>
      </c>
      <c r="F34" t="s">
        <v>6</v>
      </c>
      <c r="G34" s="6" t="s">
        <v>7</v>
      </c>
      <c r="H34" s="2" t="s">
        <v>8</v>
      </c>
      <c r="I34" t="s">
        <v>9</v>
      </c>
      <c r="J34" t="s">
        <v>10</v>
      </c>
      <c r="K34" s="6" t="s">
        <v>11</v>
      </c>
      <c r="L34" s="6" t="s">
        <v>12</v>
      </c>
      <c r="M34" s="6" t="s">
        <v>13</v>
      </c>
      <c r="N34" s="2" t="s">
        <v>14</v>
      </c>
      <c r="P34">
        <v>760</v>
      </c>
      <c r="Q34" s="6" t="s">
        <v>16</v>
      </c>
      <c r="R34" t="s">
        <v>32</v>
      </c>
      <c r="S34" s="6"/>
      <c r="Y34" s="10"/>
      <c r="AI34" s="6"/>
    </row>
    <row r="35" spans="4:44" ht="15.75">
      <c r="D35" s="2">
        <f t="shared" ref="D35:D45" si="24">10^E35</f>
        <v>0.83177149115334692</v>
      </c>
      <c r="E35" s="2">
        <f t="shared" ref="E35:E45" si="25">LOG(J35)/(1+(F35/(I35-0.14*F35))^2)</f>
        <v>-7.9995969096075439E-2</v>
      </c>
      <c r="F35" s="2">
        <f t="shared" ref="F35:F45" si="26">LOG(G35)+H35</f>
        <v>-2.4530317480544728</v>
      </c>
      <c r="G35" s="6">
        <f t="shared" ref="G35:G45" si="27">M35*K35/L35</f>
        <v>5.562604142104759E-3</v>
      </c>
      <c r="H35" s="2">
        <f>-0.4-0.67*LOG(J35)</f>
        <v>-0.19830990290513262</v>
      </c>
      <c r="I35" s="2">
        <f t="shared" ref="I35:I45" si="28">0.75-1.27*LOG(J35)</f>
        <v>1.1323080944932562</v>
      </c>
      <c r="J35" s="4">
        <f>(1-$B$10)*EXP(-O35/$B$11)+$B$10*EXP(-O35/$B$12)+EXP(-B$13/O35)</f>
        <v>0.5</v>
      </c>
      <c r="K35" s="8">
        <f>$P$34*101325/760/8.314/O35/1000000</f>
        <v>4.0624248255953815E-5</v>
      </c>
      <c r="L35" s="9">
        <f>B$4*O35^B$5*EXP(-B$6/1.987/O35)</f>
        <v>62930892040738.875</v>
      </c>
      <c r="M35" s="6">
        <f t="shared" ref="M35:M45" si="29">$B$7*O35^$B$8*EXP(-$B$9/1.987/O35)</f>
        <v>8617012148178210</v>
      </c>
      <c r="N35" s="2">
        <f t="shared" ref="N35:N45" si="30">10000/O35</f>
        <v>33.333333333333336</v>
      </c>
      <c r="O35" s="12">
        <v>300</v>
      </c>
      <c r="P35" s="13"/>
      <c r="Q35" s="6">
        <f t="shared" ref="Q35:Q45" si="31">L35/(1+L35/M35/K35)*D35</f>
        <v>289558927673.9325</v>
      </c>
      <c r="R35" s="6"/>
      <c r="S35" s="6"/>
      <c r="AI35" s="6"/>
    </row>
    <row r="36" spans="4:44" ht="15.75">
      <c r="D36" s="2">
        <f t="shared" si="24"/>
        <v>0.85388860966622371</v>
      </c>
      <c r="E36" s="2">
        <f t="shared" si="25"/>
        <v>-6.8598779618387548E-2</v>
      </c>
      <c r="F36" s="2">
        <f t="shared" si="26"/>
        <v>-2.8078577600220442</v>
      </c>
      <c r="G36" s="6">
        <f t="shared" si="27"/>
        <v>2.4572658376798822E-3</v>
      </c>
      <c r="H36" s="2">
        <f t="shared" ref="H36:H45" si="32">-0.4-0.67*LOG(J36)</f>
        <v>-0.19830990290513262</v>
      </c>
      <c r="I36" s="2">
        <f t="shared" si="28"/>
        <v>1.1323080944932562</v>
      </c>
      <c r="J36" s="4">
        <f t="shared" ref="J36:J47" si="33">(1-$B$10)*EXP(-O36/$B$11)+$B$10*EXP(-O36/$B$12)+EXP(-B$13/O36)</f>
        <v>0.5</v>
      </c>
      <c r="K36" s="8">
        <f t="shared" ref="K36:K47" si="34">$P$34*101325/760/8.314/O36/1000000</f>
        <v>3.046818619196536E-5</v>
      </c>
      <c r="L36" s="9">
        <f t="shared" ref="L36:L47" si="35">B$4*O36^B$5*EXP(-B$6/1.987/O36)</f>
        <v>71422809880754.094</v>
      </c>
      <c r="M36" s="6">
        <f t="shared" si="29"/>
        <v>5760265138374527</v>
      </c>
      <c r="N36" s="2">
        <f t="shared" si="30"/>
        <v>25</v>
      </c>
      <c r="O36" s="12">
        <v>400</v>
      </c>
      <c r="P36" s="13"/>
      <c r="Q36" s="6">
        <f t="shared" si="31"/>
        <v>149494228858.24384</v>
      </c>
      <c r="R36" s="6"/>
      <c r="S36" s="6"/>
      <c r="AI36" s="6"/>
    </row>
    <row r="37" spans="4:44" ht="15.75">
      <c r="D37" s="2">
        <f t="shared" si="24"/>
        <v>0.86774550811341533</v>
      </c>
      <c r="E37" s="2">
        <f t="shared" si="25"/>
        <v>-6.1607625777099224E-2</v>
      </c>
      <c r="F37" s="2">
        <f t="shared" si="26"/>
        <v>-3.0830821969649245</v>
      </c>
      <c r="G37" s="6">
        <f t="shared" si="27"/>
        <v>1.3038502239815595E-3</v>
      </c>
      <c r="H37" s="2">
        <f t="shared" si="32"/>
        <v>-0.19830990290513262</v>
      </c>
      <c r="I37" s="2">
        <f t="shared" si="28"/>
        <v>1.1323080944932562</v>
      </c>
      <c r="J37" s="4">
        <f t="shared" si="33"/>
        <v>0.5</v>
      </c>
      <c r="K37" s="8">
        <f t="shared" si="34"/>
        <v>2.4374548953572287E-5</v>
      </c>
      <c r="L37" s="9">
        <f t="shared" si="35"/>
        <v>78791131571571.406</v>
      </c>
      <c r="M37" s="6">
        <f t="shared" si="29"/>
        <v>4214717357151247.5</v>
      </c>
      <c r="N37" s="2">
        <f t="shared" si="30"/>
        <v>20</v>
      </c>
      <c r="O37" s="12">
        <v>500</v>
      </c>
      <c r="P37" s="13"/>
      <c r="Q37" s="6">
        <f t="shared" si="31"/>
        <v>89029007477.376678</v>
      </c>
      <c r="R37" s="6"/>
      <c r="S37" s="6"/>
      <c r="AI37" s="6"/>
    </row>
    <row r="38" spans="4:44" ht="15.75">
      <c r="D38" s="2">
        <f t="shared" si="24"/>
        <v>0.87738717417709811</v>
      </c>
      <c r="E38" s="2">
        <f t="shared" si="25"/>
        <v>-5.6808718489114507E-2</v>
      </c>
      <c r="F38" s="2">
        <f t="shared" si="26"/>
        <v>-3.307956935740179</v>
      </c>
      <c r="G38" s="6">
        <f t="shared" si="27"/>
        <v>7.7687825777011325E-4</v>
      </c>
      <c r="H38" s="2">
        <f t="shared" si="32"/>
        <v>-0.19830990290513262</v>
      </c>
      <c r="I38" s="2">
        <f t="shared" si="28"/>
        <v>1.1323080944932562</v>
      </c>
      <c r="J38" s="4">
        <f t="shared" si="33"/>
        <v>0.5</v>
      </c>
      <c r="K38" s="8">
        <f t="shared" si="34"/>
        <v>2.0312124127976908E-5</v>
      </c>
      <c r="L38" s="9">
        <f t="shared" si="35"/>
        <v>85372320472608.625</v>
      </c>
      <c r="M38" s="6">
        <f t="shared" si="29"/>
        <v>3265237016703768.5</v>
      </c>
      <c r="N38" s="2">
        <f t="shared" si="30"/>
        <v>16.666666666666668</v>
      </c>
      <c r="O38" s="12">
        <v>600</v>
      </c>
      <c r="P38" s="13"/>
      <c r="Q38" s="6">
        <f t="shared" si="31"/>
        <v>58146566039.240097</v>
      </c>
      <c r="R38" s="6"/>
      <c r="S38" s="6"/>
      <c r="AI38" s="6"/>
    </row>
    <row r="39" spans="4:44" ht="15.75">
      <c r="D39" s="2">
        <f t="shared" si="24"/>
        <v>0.8845632965615482</v>
      </c>
      <c r="E39" s="2">
        <f t="shared" si="25"/>
        <v>-5.3271084898006131E-2</v>
      </c>
      <c r="F39" s="2">
        <f t="shared" si="26"/>
        <v>-3.4980858182911203</v>
      </c>
      <c r="G39" s="6">
        <f t="shared" si="27"/>
        <v>5.0144589988150253E-4</v>
      </c>
      <c r="H39" s="2">
        <f t="shared" si="32"/>
        <v>-0.19830990290513262</v>
      </c>
      <c r="I39" s="2">
        <f t="shared" si="28"/>
        <v>1.1323080944932562</v>
      </c>
      <c r="J39" s="4">
        <f t="shared" si="33"/>
        <v>0.5</v>
      </c>
      <c r="K39" s="8">
        <f t="shared" si="34"/>
        <v>1.741039210969449E-5</v>
      </c>
      <c r="L39" s="9">
        <f t="shared" si="35"/>
        <v>91363698805302.516</v>
      </c>
      <c r="M39" s="6">
        <f t="shared" si="29"/>
        <v>2631414150541575.5</v>
      </c>
      <c r="N39" s="2">
        <f t="shared" si="30"/>
        <v>14.285714285714286</v>
      </c>
      <c r="O39" s="12">
        <v>700</v>
      </c>
      <c r="P39" s="13"/>
      <c r="Q39" s="20">
        <f t="shared" si="31"/>
        <v>40505029473.682594</v>
      </c>
      <c r="R39" s="20"/>
      <c r="S39" s="6"/>
      <c r="AI39" s="6"/>
    </row>
    <row r="40" spans="4:44" ht="15.75">
      <c r="D40" s="2">
        <f t="shared" si="24"/>
        <v>0.89016008539777614</v>
      </c>
      <c r="E40" s="2">
        <f t="shared" si="25"/>
        <v>-5.0531883295609745E-2</v>
      </c>
      <c r="F40" s="2">
        <f t="shared" si="26"/>
        <v>-3.6627829477077505</v>
      </c>
      <c r="G40" s="6">
        <f t="shared" si="27"/>
        <v>3.4318393940799903E-4</v>
      </c>
      <c r="H40" s="2">
        <f t="shared" si="32"/>
        <v>-0.19830990290513262</v>
      </c>
      <c r="I40" s="2">
        <f t="shared" si="28"/>
        <v>1.1323080944932562</v>
      </c>
      <c r="J40" s="4">
        <f t="shared" si="33"/>
        <v>0.5</v>
      </c>
      <c r="K40" s="8">
        <f t="shared" si="34"/>
        <v>1.523409309598268E-5</v>
      </c>
      <c r="L40" s="9">
        <f t="shared" si="35"/>
        <v>96892492962703.328</v>
      </c>
      <c r="M40" s="6">
        <f t="shared" si="29"/>
        <v>2182732324431645</v>
      </c>
      <c r="N40" s="2">
        <f t="shared" si="30"/>
        <v>12.5</v>
      </c>
      <c r="O40" s="12">
        <v>800</v>
      </c>
      <c r="P40" s="13"/>
      <c r="Q40" s="20">
        <f t="shared" si="31"/>
        <v>29589401760.033161</v>
      </c>
      <c r="R40" s="20"/>
      <c r="S40" s="6"/>
      <c r="U40" s="6"/>
      <c r="V40" s="6"/>
      <c r="AI40" s="6"/>
    </row>
    <row r="41" spans="4:44" ht="15.75">
      <c r="D41" s="2">
        <f t="shared" si="24"/>
        <v>0.8946774360119496</v>
      </c>
      <c r="E41" s="2">
        <f t="shared" si="25"/>
        <v>-4.8333515533720561E-2</v>
      </c>
      <c r="F41" s="2">
        <f t="shared" si="26"/>
        <v>-3.8080561114583138</v>
      </c>
      <c r="G41" s="6">
        <f t="shared" si="27"/>
        <v>2.4561438088675856E-4</v>
      </c>
      <c r="H41" s="2">
        <f t="shared" si="32"/>
        <v>-0.19830990290513262</v>
      </c>
      <c r="I41" s="2">
        <f t="shared" si="28"/>
        <v>1.1323080944932562</v>
      </c>
      <c r="J41" s="4">
        <f t="shared" si="33"/>
        <v>0.5</v>
      </c>
      <c r="K41" s="8">
        <f t="shared" si="34"/>
        <v>1.3541416085317938E-5</v>
      </c>
      <c r="L41" s="9">
        <f t="shared" si="35"/>
        <v>102046294664777.16</v>
      </c>
      <c r="M41" s="6">
        <f t="shared" si="29"/>
        <v>1850917018424111</v>
      </c>
      <c r="N41" s="2">
        <f t="shared" si="30"/>
        <v>11.111111111111111</v>
      </c>
      <c r="O41" s="12">
        <v>900</v>
      </c>
      <c r="P41" s="13"/>
      <c r="Q41" s="20">
        <f t="shared" si="31"/>
        <v>22418722433.341068</v>
      </c>
      <c r="R41" s="20"/>
      <c r="S41" s="6"/>
      <c r="V41" s="6"/>
      <c r="AI41" s="6"/>
    </row>
    <row r="42" spans="4:44" ht="15.75">
      <c r="D42" s="2">
        <f t="shared" si="24"/>
        <v>0.89842029102773313</v>
      </c>
      <c r="E42" s="2">
        <f t="shared" si="25"/>
        <v>-4.6520447995638911E-2</v>
      </c>
      <c r="F42" s="2">
        <f t="shared" si="26"/>
        <v>-3.9380073846506312</v>
      </c>
      <c r="G42" s="6">
        <f t="shared" si="27"/>
        <v>1.8209688565339738E-4</v>
      </c>
      <c r="H42" s="2">
        <f t="shared" si="32"/>
        <v>-0.19830990290513262</v>
      </c>
      <c r="I42" s="2">
        <f t="shared" si="28"/>
        <v>1.1323080944932562</v>
      </c>
      <c r="J42" s="4">
        <f t="shared" si="33"/>
        <v>0.5</v>
      </c>
      <c r="K42" s="8">
        <f t="shared" si="34"/>
        <v>1.2187274476786143E-5</v>
      </c>
      <c r="L42" s="9">
        <f t="shared" si="35"/>
        <v>106888390054492.66</v>
      </c>
      <c r="M42" s="6">
        <f t="shared" si="29"/>
        <v>1597079230348266.7</v>
      </c>
      <c r="N42" s="2">
        <f t="shared" si="30"/>
        <v>10</v>
      </c>
      <c r="O42" s="12">
        <v>1000</v>
      </c>
      <c r="P42" s="13"/>
      <c r="Q42" s="6">
        <f t="shared" si="31"/>
        <v>17483707395.348289</v>
      </c>
      <c r="R42" s="6"/>
      <c r="S42" s="6"/>
    </row>
    <row r="43" spans="4:44" ht="15.75">
      <c r="D43" s="2">
        <f t="shared" si="24"/>
        <v>0.90158607701536053</v>
      </c>
      <c r="E43" s="2">
        <f t="shared" si="25"/>
        <v>-4.4992803619102718E-2</v>
      </c>
      <c r="F43" s="2">
        <f t="shared" si="26"/>
        <v>-4.0555626104999902</v>
      </c>
      <c r="G43" s="6">
        <f t="shared" si="27"/>
        <v>1.3891440798096769E-4</v>
      </c>
      <c r="H43" s="2">
        <f t="shared" si="32"/>
        <v>-0.19830990290513262</v>
      </c>
      <c r="I43" s="2">
        <f t="shared" si="28"/>
        <v>1.1323080944932562</v>
      </c>
      <c r="J43" s="4">
        <f t="shared" si="33"/>
        <v>0.5</v>
      </c>
      <c r="K43" s="8">
        <f t="shared" si="34"/>
        <v>1.107934043344195E-5</v>
      </c>
      <c r="L43" s="9">
        <f t="shared" si="35"/>
        <v>111466231171731.97</v>
      </c>
      <c r="M43" s="6">
        <f t="shared" si="29"/>
        <v>1397580082145777.5</v>
      </c>
      <c r="N43" s="2">
        <f t="shared" si="30"/>
        <v>9.0909090909090917</v>
      </c>
      <c r="O43" s="12">
        <v>1100</v>
      </c>
      <c r="P43" s="13"/>
      <c r="Q43" s="6">
        <f t="shared" si="31"/>
        <v>13958459168.320112</v>
      </c>
      <c r="R43" s="6"/>
      <c r="S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4:44" ht="15.75">
      <c r="D44" s="2">
        <f t="shared" si="24"/>
        <v>0.90430873590112204</v>
      </c>
      <c r="E44" s="2">
        <f t="shared" si="25"/>
        <v>-4.3683273719983914E-2</v>
      </c>
      <c r="F44" s="2">
        <f t="shared" si="26"/>
        <v>-4.1628821234258861</v>
      </c>
      <c r="G44" s="6">
        <f t="shared" si="27"/>
        <v>1.0849951065681278E-4</v>
      </c>
      <c r="H44" s="2">
        <f t="shared" si="32"/>
        <v>-0.19830990290513262</v>
      </c>
      <c r="I44" s="2">
        <f t="shared" si="28"/>
        <v>1.1323080944932562</v>
      </c>
      <c r="J44" s="4">
        <f t="shared" si="33"/>
        <v>0.5</v>
      </c>
      <c r="K44" s="8">
        <f t="shared" si="34"/>
        <v>1.0156062063988454E-5</v>
      </c>
      <c r="L44" s="9">
        <f t="shared" si="35"/>
        <v>115816459397390.31</v>
      </c>
      <c r="M44" s="6">
        <f t="shared" si="29"/>
        <v>1237293459950222.7</v>
      </c>
      <c r="N44" s="2">
        <f t="shared" si="30"/>
        <v>8.3333333333333339</v>
      </c>
      <c r="O44" s="12">
        <v>1200</v>
      </c>
      <c r="P44" s="13"/>
      <c r="Q44" s="6">
        <f t="shared" si="31"/>
        <v>11362337146.561012</v>
      </c>
      <c r="R44" s="6"/>
      <c r="S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4:44" ht="15.75">
      <c r="D45" s="2">
        <f t="shared" si="24"/>
        <v>0.90668263657247783</v>
      </c>
      <c r="E45" s="2">
        <f t="shared" si="25"/>
        <v>-4.2544701147718154E-2</v>
      </c>
      <c r="F45" s="2">
        <f t="shared" si="26"/>
        <v>-4.2616065052020478</v>
      </c>
      <c r="G45" s="6">
        <f t="shared" si="27"/>
        <v>8.6437738885666464E-5</v>
      </c>
      <c r="H45" s="2">
        <f t="shared" si="32"/>
        <v>-0.19830990290513262</v>
      </c>
      <c r="I45" s="2">
        <f t="shared" si="28"/>
        <v>1.1323080944932562</v>
      </c>
      <c r="J45" s="4">
        <f t="shared" si="33"/>
        <v>0.5</v>
      </c>
      <c r="K45" s="8">
        <f t="shared" si="34"/>
        <v>9.3748265206047265E-6</v>
      </c>
      <c r="L45" s="9">
        <f t="shared" si="35"/>
        <v>119968053059570.45</v>
      </c>
      <c r="M45" s="6">
        <f t="shared" si="29"/>
        <v>1106128974460854.9</v>
      </c>
      <c r="N45" s="2">
        <f t="shared" si="30"/>
        <v>7.6923076923076925</v>
      </c>
      <c r="O45" s="12">
        <v>1300</v>
      </c>
      <c r="P45" s="13"/>
      <c r="Q45" s="6">
        <f t="shared" si="31"/>
        <v>9401275281.3478947</v>
      </c>
      <c r="R45" s="6"/>
      <c r="S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4:44" ht="15.75">
      <c r="D46" s="2">
        <f>10^E46</f>
        <v>0.91064110083758165</v>
      </c>
      <c r="E46" s="2">
        <f>LOG(J46)/(1+(F46/(I46-0.14*F46))^2)</f>
        <v>-4.0652752156381901E-2</v>
      </c>
      <c r="F46" s="2">
        <f>LOG(G46)+H46</f>
        <v>-4.4381065603687668</v>
      </c>
      <c r="G46" s="6">
        <f>M46*K46/L46</f>
        <v>5.7570942916516628E-5</v>
      </c>
      <c r="H46" s="2">
        <f>-0.4-0.67*LOG(J46)</f>
        <v>-0.19830990290513262</v>
      </c>
      <c r="I46" s="2">
        <f>0.75-1.27*LOG(J46)</f>
        <v>1.1323080944932562</v>
      </c>
      <c r="J46" s="4">
        <f t="shared" si="33"/>
        <v>0.5</v>
      </c>
      <c r="K46" s="8">
        <f t="shared" si="34"/>
        <v>8.1248496511907623E-6</v>
      </c>
      <c r="L46" s="9">
        <f t="shared" si="35"/>
        <v>127764644176961.8</v>
      </c>
      <c r="M46" s="6">
        <f>$B$7*O46^$B$8*EXP(-$B$9/1.987/O46)</f>
        <v>905312879923004.25</v>
      </c>
      <c r="N46" s="2">
        <f>10000/O46</f>
        <v>6.666666666666667</v>
      </c>
      <c r="O46" s="12">
        <v>1500</v>
      </c>
      <c r="P46" s="13"/>
      <c r="Q46" s="6">
        <f>L46/(1+L46/M46/K46)*D46</f>
        <v>6697863278.165453</v>
      </c>
      <c r="R46" s="6"/>
      <c r="S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4:44" ht="15.75">
      <c r="D47" s="2">
        <f>10^E47</f>
        <v>0.91521050584146735</v>
      </c>
      <c r="E47" s="2">
        <f>LOG(J47)/(1+(F47/(I47-0.14*F47))^2)</f>
        <v>-3.8479003189611581E-2</v>
      </c>
      <c r="F47" s="2">
        <f>LOG(G47)+H47</f>
        <v>-4.6629812991440209</v>
      </c>
      <c r="G47" s="6">
        <f>M47*K47/L47</f>
        <v>3.4302723586293332E-5</v>
      </c>
      <c r="H47" s="2">
        <f>-0.4-0.67*LOG(J47)</f>
        <v>-0.19830990290513262</v>
      </c>
      <c r="I47" s="2">
        <f>0.75-1.27*LOG(J47)</f>
        <v>1.1323080944932562</v>
      </c>
      <c r="J47" s="4">
        <f t="shared" si="33"/>
        <v>0.5</v>
      </c>
      <c r="K47" s="8">
        <f t="shared" si="34"/>
        <v>6.7707080426589692E-6</v>
      </c>
      <c r="L47" s="9">
        <f t="shared" si="35"/>
        <v>138436444942236.94</v>
      </c>
      <c r="M47" s="6">
        <f>$B$7*O47^$B$8*EXP(-$B$9/1.987/O47)</f>
        <v>701366397015364.12</v>
      </c>
      <c r="N47" s="2">
        <f>10000/O47</f>
        <v>5.5555555555555554</v>
      </c>
      <c r="O47" s="12">
        <v>1800</v>
      </c>
      <c r="P47" s="13"/>
      <c r="Q47" s="6">
        <f>L47/(1+L47/M47/K47)*D47</f>
        <v>4345954162.1281805</v>
      </c>
      <c r="R47" s="6"/>
      <c r="S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4:44">
      <c r="D48" s="2" t="s">
        <v>4</v>
      </c>
      <c r="E48" s="2" t="s">
        <v>5</v>
      </c>
      <c r="F48" t="s">
        <v>6</v>
      </c>
      <c r="G48" s="6" t="s">
        <v>7</v>
      </c>
      <c r="H48" s="2" t="s">
        <v>8</v>
      </c>
      <c r="I48" t="s">
        <v>9</v>
      </c>
      <c r="J48" t="s">
        <v>10</v>
      </c>
      <c r="K48" s="6" t="s">
        <v>11</v>
      </c>
      <c r="L48" s="6" t="s">
        <v>12</v>
      </c>
      <c r="M48" s="6" t="s">
        <v>13</v>
      </c>
      <c r="N48" s="2" t="s">
        <v>14</v>
      </c>
      <c r="P48">
        <v>1520</v>
      </c>
      <c r="Q48" s="6" t="s">
        <v>16</v>
      </c>
      <c r="S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4:44" ht="15.75">
      <c r="D49" s="2">
        <f t="shared" ref="D49:D59" si="36">10^E49</f>
        <v>0.80811262881267543</v>
      </c>
      <c r="E49" s="2">
        <f t="shared" ref="E49:E59" si="37">LOG(J49)/(1+(F49/(I49-0.14*F49))^2)</f>
        <v>-9.2528106226592646E-2</v>
      </c>
      <c r="F49" s="2">
        <f t="shared" ref="F49:F59" si="38">LOG(G49)+H49</f>
        <v>-2.1520017523904915</v>
      </c>
      <c r="G49" s="6">
        <f t="shared" ref="G49:G59" si="39">M49*K49/L49</f>
        <v>1.1125208284209518E-2</v>
      </c>
      <c r="H49" s="2">
        <f>-0.4-0.67*LOG(J49)</f>
        <v>-0.19830990290513262</v>
      </c>
      <c r="I49" s="2">
        <f t="shared" ref="I49:I59" si="40">0.75-1.27*LOG(J49)</f>
        <v>1.1323080944932562</v>
      </c>
      <c r="J49" s="4">
        <f>(1-$B$10)*EXP(-O49/$B$11)+$B$10*EXP(-O49/$B$12)+EXP(-B$13/O49)</f>
        <v>0.5</v>
      </c>
      <c r="K49" s="8">
        <f>$P$48*101325/760/8.314/O49/1000000</f>
        <v>8.124849651190763E-5</v>
      </c>
      <c r="L49" s="9">
        <f>B$4*O49^B$5*EXP(-B$6/1.987/O49)</f>
        <v>62930892040738.875</v>
      </c>
      <c r="M49" s="6">
        <f t="shared" ref="M49:M59" si="41">$B$7*O49^$B$8*EXP(-$B$9/1.987/O49)</f>
        <v>8617012148178210</v>
      </c>
      <c r="N49" s="2">
        <f t="shared" ref="N49:N59" si="42">10000/O49</f>
        <v>33.333333333333336</v>
      </c>
      <c r="O49" s="12">
        <v>300</v>
      </c>
      <c r="P49" s="13"/>
      <c r="Q49" s="6">
        <f t="shared" ref="Q49:Q58" si="43">L49/(1+L49/M49/K49)*D49</f>
        <v>559550121380.75977</v>
      </c>
      <c r="R49" s="6"/>
      <c r="S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4:44" ht="15.75">
      <c r="D50" s="2">
        <f t="shared" si="36"/>
        <v>0.83548610102425769</v>
      </c>
      <c r="E50" s="2">
        <f t="shared" si="37"/>
        <v>-7.8060770544590596E-2</v>
      </c>
      <c r="F50" s="2">
        <f t="shared" si="38"/>
        <v>-2.506827764358063</v>
      </c>
      <c r="G50" s="6">
        <f t="shared" si="39"/>
        <v>4.9145316753597644E-3</v>
      </c>
      <c r="H50" s="2">
        <f t="shared" ref="H50:H59" si="44">-0.4-0.67*LOG(J50)</f>
        <v>-0.19830990290513262</v>
      </c>
      <c r="I50" s="2">
        <f t="shared" si="40"/>
        <v>1.1323080944932562</v>
      </c>
      <c r="J50" s="4">
        <f t="shared" ref="J50:J61" si="45">(1-$B$10)*EXP(-O50/$B$11)+$B$10*EXP(-O50/$B$12)+EXP(-B$13/O50)</f>
        <v>0.5</v>
      </c>
      <c r="K50" s="8">
        <f t="shared" ref="K50:K61" si="46">$P$48*101325/760/8.314/O50/1000000</f>
        <v>6.0936372383930719E-5</v>
      </c>
      <c r="L50" s="9">
        <f t="shared" ref="L50:L61" si="47">B$4*O50^B$5*EXP(-B$6/1.987/O50)</f>
        <v>71422809880754.094</v>
      </c>
      <c r="M50" s="6">
        <f t="shared" si="41"/>
        <v>5760265138374527</v>
      </c>
      <c r="N50" s="2">
        <f t="shared" si="42"/>
        <v>25</v>
      </c>
      <c r="O50" s="12">
        <v>400</v>
      </c>
      <c r="P50" s="13"/>
      <c r="Q50" s="6">
        <f t="shared" si="43"/>
        <v>291829488246.4964</v>
      </c>
      <c r="R50" s="6"/>
      <c r="S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4:44" ht="15.75">
      <c r="D51" s="2">
        <f t="shared" si="36"/>
        <v>0.8524553102054192</v>
      </c>
      <c r="E51" s="2">
        <f t="shared" si="37"/>
        <v>-6.932837953771577E-2</v>
      </c>
      <c r="F51" s="2">
        <f t="shared" si="38"/>
        <v>-2.7820522013009432</v>
      </c>
      <c r="G51" s="6">
        <f t="shared" si="39"/>
        <v>2.607700447963119E-3</v>
      </c>
      <c r="H51" s="2">
        <f t="shared" si="44"/>
        <v>-0.19830990290513262</v>
      </c>
      <c r="I51" s="2">
        <f t="shared" si="40"/>
        <v>1.1323080944932562</v>
      </c>
      <c r="J51" s="4">
        <f t="shared" si="45"/>
        <v>0.5</v>
      </c>
      <c r="K51" s="8">
        <f t="shared" si="46"/>
        <v>4.8749097907144574E-5</v>
      </c>
      <c r="L51" s="9">
        <f t="shared" si="47"/>
        <v>78791131571571.406</v>
      </c>
      <c r="M51" s="6">
        <f t="shared" si="41"/>
        <v>4214717357151247.5</v>
      </c>
      <c r="N51" s="2">
        <f t="shared" si="42"/>
        <v>20</v>
      </c>
      <c r="O51" s="12">
        <v>500</v>
      </c>
      <c r="P51" s="13"/>
      <c r="Q51" s="6">
        <f t="shared" si="43"/>
        <v>174693048632.89667</v>
      </c>
      <c r="R51" s="6"/>
      <c r="S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4:44" ht="15.75">
      <c r="D52" s="2">
        <f t="shared" si="36"/>
        <v>0.86415681685104229</v>
      </c>
      <c r="E52" s="2">
        <f t="shared" si="37"/>
        <v>-6.3407439797390913E-2</v>
      </c>
      <c r="F52" s="2">
        <f t="shared" si="38"/>
        <v>-3.0069269400761978</v>
      </c>
      <c r="G52" s="6">
        <f t="shared" si="39"/>
        <v>1.5537565155402265E-3</v>
      </c>
      <c r="H52" s="2">
        <f t="shared" si="44"/>
        <v>-0.19830990290513262</v>
      </c>
      <c r="I52" s="2">
        <f t="shared" si="40"/>
        <v>1.1323080944932562</v>
      </c>
      <c r="J52" s="4">
        <f t="shared" si="45"/>
        <v>0.5</v>
      </c>
      <c r="K52" s="8">
        <f t="shared" si="46"/>
        <v>4.0624248255953815E-5</v>
      </c>
      <c r="L52" s="9">
        <f t="shared" si="47"/>
        <v>85372320472608.625</v>
      </c>
      <c r="M52" s="6">
        <f t="shared" si="41"/>
        <v>3265237016703768.5</v>
      </c>
      <c r="N52" s="2">
        <f t="shared" si="42"/>
        <v>16.666666666666668</v>
      </c>
      <c r="O52" s="12">
        <v>600</v>
      </c>
      <c r="P52" s="13"/>
      <c r="Q52" s="6">
        <f t="shared" si="43"/>
        <v>114450671426.20264</v>
      </c>
      <c r="R52" s="6"/>
      <c r="S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4:44" ht="15.75">
      <c r="D53" s="2">
        <f t="shared" si="36"/>
        <v>0.87280142518528736</v>
      </c>
      <c r="E53" s="2">
        <f t="shared" si="37"/>
        <v>-5.9084553265726661E-2</v>
      </c>
      <c r="F53" s="2">
        <f t="shared" si="38"/>
        <v>-3.1970558226271391</v>
      </c>
      <c r="G53" s="6">
        <f t="shared" si="39"/>
        <v>1.0028917997630051E-3</v>
      </c>
      <c r="H53" s="2">
        <f t="shared" si="44"/>
        <v>-0.19830990290513262</v>
      </c>
      <c r="I53" s="2">
        <f t="shared" si="40"/>
        <v>1.1323080944932562</v>
      </c>
      <c r="J53" s="4">
        <f t="shared" si="45"/>
        <v>0.5</v>
      </c>
      <c r="K53" s="8">
        <f t="shared" si="46"/>
        <v>3.482078421938898E-5</v>
      </c>
      <c r="L53" s="9">
        <f t="shared" si="47"/>
        <v>91363698805302.516</v>
      </c>
      <c r="M53" s="6">
        <f t="shared" si="41"/>
        <v>2631414150541575.5</v>
      </c>
      <c r="N53" s="2">
        <f t="shared" si="42"/>
        <v>14.285714285714286</v>
      </c>
      <c r="O53" s="12">
        <v>700</v>
      </c>
      <c r="P53" s="13"/>
      <c r="Q53" s="6">
        <f t="shared" si="43"/>
        <v>79892841608.384125</v>
      </c>
      <c r="R53" s="6"/>
      <c r="S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4:44" ht="15.75">
      <c r="D54" s="2">
        <f t="shared" si="36"/>
        <v>0.87950165428995419</v>
      </c>
      <c r="E54" s="2">
        <f t="shared" si="37"/>
        <v>-5.5763339323833282E-2</v>
      </c>
      <c r="F54" s="2">
        <f t="shared" si="38"/>
        <v>-3.3617529520437697</v>
      </c>
      <c r="G54" s="6">
        <f t="shared" si="39"/>
        <v>6.8636787881599806E-4</v>
      </c>
      <c r="H54" s="2">
        <f t="shared" si="44"/>
        <v>-0.19830990290513262</v>
      </c>
      <c r="I54" s="2">
        <f t="shared" si="40"/>
        <v>1.1323080944932562</v>
      </c>
      <c r="J54" s="4">
        <f t="shared" si="45"/>
        <v>0.5</v>
      </c>
      <c r="K54" s="8">
        <f t="shared" si="46"/>
        <v>3.046818619196536E-5</v>
      </c>
      <c r="L54" s="9">
        <f t="shared" si="47"/>
        <v>96892492962703.328</v>
      </c>
      <c r="M54" s="6">
        <f t="shared" si="41"/>
        <v>2182732324431645</v>
      </c>
      <c r="N54" s="2">
        <f t="shared" si="42"/>
        <v>12.5</v>
      </c>
      <c r="O54" s="12">
        <v>800</v>
      </c>
      <c r="P54" s="13"/>
      <c r="Q54" s="20">
        <f t="shared" si="43"/>
        <v>58450167235.833229</v>
      </c>
      <c r="R54" s="20"/>
      <c r="S54" s="6"/>
    </row>
    <row r="55" spans="4:44" ht="15.75">
      <c r="D55" s="2">
        <f t="shared" si="36"/>
        <v>0.88488110573361012</v>
      </c>
      <c r="E55" s="2">
        <f t="shared" si="37"/>
        <v>-5.3115077994336388E-2</v>
      </c>
      <c r="F55" s="2">
        <f t="shared" si="38"/>
        <v>-3.507026115794333</v>
      </c>
      <c r="G55" s="6">
        <f t="shared" si="39"/>
        <v>4.9122876177351712E-4</v>
      </c>
      <c r="H55" s="2">
        <f t="shared" si="44"/>
        <v>-0.19830990290513262</v>
      </c>
      <c r="I55" s="2">
        <f t="shared" si="40"/>
        <v>1.1323080944932562</v>
      </c>
      <c r="J55" s="4">
        <f t="shared" si="45"/>
        <v>0.5</v>
      </c>
      <c r="K55" s="8">
        <f t="shared" si="46"/>
        <v>2.7082832170635877E-5</v>
      </c>
      <c r="L55" s="9">
        <f t="shared" si="47"/>
        <v>102046294664777.16</v>
      </c>
      <c r="M55" s="6">
        <f t="shared" si="41"/>
        <v>1850917018424111</v>
      </c>
      <c r="N55" s="2">
        <f t="shared" si="42"/>
        <v>11.111111111111111</v>
      </c>
      <c r="O55" s="12">
        <v>900</v>
      </c>
      <c r="P55" s="13"/>
      <c r="Q55" s="20">
        <f t="shared" si="43"/>
        <v>44335607483.736237</v>
      </c>
      <c r="R55" s="20"/>
      <c r="S55" s="6"/>
    </row>
    <row r="56" spans="4:44" ht="15.75">
      <c r="D56" s="2">
        <f t="shared" si="36"/>
        <v>0.88931799247329224</v>
      </c>
      <c r="E56" s="2">
        <f t="shared" si="37"/>
        <v>-5.0942921051231216E-2</v>
      </c>
      <c r="F56" s="2">
        <f t="shared" si="38"/>
        <v>-3.6369773889866499</v>
      </c>
      <c r="G56" s="6">
        <f t="shared" si="39"/>
        <v>3.6419377130679476E-4</v>
      </c>
      <c r="H56" s="2">
        <f t="shared" si="44"/>
        <v>-0.19830990290513262</v>
      </c>
      <c r="I56" s="2">
        <f t="shared" si="40"/>
        <v>1.1323080944932562</v>
      </c>
      <c r="J56" s="4">
        <f t="shared" si="45"/>
        <v>0.5</v>
      </c>
      <c r="K56" s="8">
        <f t="shared" si="46"/>
        <v>2.4374548953572287E-5</v>
      </c>
      <c r="L56" s="9">
        <f t="shared" si="47"/>
        <v>106888390054492.66</v>
      </c>
      <c r="M56" s="6">
        <f t="shared" si="41"/>
        <v>1597079230348266.7</v>
      </c>
      <c r="N56" s="2">
        <f t="shared" si="42"/>
        <v>10</v>
      </c>
      <c r="O56" s="12">
        <v>1000</v>
      </c>
      <c r="P56" s="13"/>
      <c r="Q56" s="6">
        <f t="shared" si="43"/>
        <v>34606843591.290092</v>
      </c>
      <c r="R56" s="6"/>
    </row>
    <row r="57" spans="4:44" ht="15.75">
      <c r="D57" s="2">
        <f t="shared" si="36"/>
        <v>0.89305590660671463</v>
      </c>
      <c r="E57" s="2">
        <f t="shared" si="37"/>
        <v>-4.9121352790285948E-2</v>
      </c>
      <c r="F57" s="2">
        <f t="shared" si="38"/>
        <v>-3.754532614836009</v>
      </c>
      <c r="G57" s="6">
        <f t="shared" si="39"/>
        <v>2.7782881596193537E-4</v>
      </c>
      <c r="H57" s="2">
        <f t="shared" si="44"/>
        <v>-0.19830990290513262</v>
      </c>
      <c r="I57" s="2">
        <f t="shared" si="40"/>
        <v>1.1323080944932562</v>
      </c>
      <c r="J57" s="4">
        <f t="shared" si="45"/>
        <v>0.5</v>
      </c>
      <c r="K57" s="8">
        <f t="shared" si="46"/>
        <v>2.21586808668839E-5</v>
      </c>
      <c r="L57" s="9">
        <f t="shared" si="47"/>
        <v>111466231171731.97</v>
      </c>
      <c r="M57" s="6">
        <f t="shared" si="41"/>
        <v>1397580082145777.5</v>
      </c>
      <c r="N57" s="2">
        <f t="shared" si="42"/>
        <v>9.0909090909090917</v>
      </c>
      <c r="O57" s="12">
        <v>1100</v>
      </c>
      <c r="P57" s="13"/>
      <c r="Q57" s="6">
        <f t="shared" si="43"/>
        <v>27648947877.413467</v>
      </c>
      <c r="R57" s="6"/>
    </row>
    <row r="58" spans="4:44" ht="15.75">
      <c r="D58" s="2">
        <f t="shared" si="36"/>
        <v>0.89625933913696265</v>
      </c>
      <c r="E58" s="2">
        <f t="shared" si="37"/>
        <v>-4.7566305896509634E-2</v>
      </c>
      <c r="F58" s="2">
        <f t="shared" si="38"/>
        <v>-3.8618521277619045</v>
      </c>
      <c r="G58" s="6">
        <f t="shared" si="39"/>
        <v>2.1699902131362556E-4</v>
      </c>
      <c r="H58" s="2">
        <f t="shared" si="44"/>
        <v>-0.19830990290513262</v>
      </c>
      <c r="I58" s="2">
        <f t="shared" si="40"/>
        <v>1.1323080944932562</v>
      </c>
      <c r="J58" s="4">
        <f t="shared" si="45"/>
        <v>0.5</v>
      </c>
      <c r="K58" s="8">
        <f t="shared" si="46"/>
        <v>2.0312124127976908E-5</v>
      </c>
      <c r="L58" s="9">
        <f t="shared" si="47"/>
        <v>115816459397390.31</v>
      </c>
      <c r="M58" s="6">
        <f t="shared" si="41"/>
        <v>1237293459950222.7</v>
      </c>
      <c r="N58" s="2">
        <f t="shared" si="42"/>
        <v>8.3333333333333339</v>
      </c>
      <c r="O58" s="12">
        <v>1200</v>
      </c>
      <c r="P58" s="13"/>
      <c r="Q58" s="6">
        <f t="shared" si="43"/>
        <v>22519955191.837337</v>
      </c>
      <c r="R58" s="6"/>
    </row>
    <row r="59" spans="4:44" ht="15.75">
      <c r="D59" s="2">
        <f t="shared" si="36"/>
        <v>0.89904369462072931</v>
      </c>
      <c r="E59" s="2">
        <f t="shared" si="37"/>
        <v>-4.6219200512012976E-2</v>
      </c>
      <c r="F59" s="2">
        <f t="shared" si="38"/>
        <v>-3.9605765095380661</v>
      </c>
      <c r="G59" s="6">
        <f t="shared" si="39"/>
        <v>1.7287547777133293E-4</v>
      </c>
      <c r="H59" s="2">
        <f t="shared" si="44"/>
        <v>-0.19830990290513262</v>
      </c>
      <c r="I59" s="2">
        <f t="shared" si="40"/>
        <v>1.1323080944932562</v>
      </c>
      <c r="J59" s="4">
        <f t="shared" si="45"/>
        <v>0.5</v>
      </c>
      <c r="K59" s="8">
        <f t="shared" si="46"/>
        <v>1.8749653041209453E-5</v>
      </c>
      <c r="L59" s="9">
        <f t="shared" si="47"/>
        <v>119968053059570.45</v>
      </c>
      <c r="M59" s="6">
        <f t="shared" si="41"/>
        <v>1106128974460854.9</v>
      </c>
      <c r="N59" s="2">
        <f t="shared" si="42"/>
        <v>7.6923076923076925</v>
      </c>
      <c r="O59" s="12">
        <v>1300</v>
      </c>
      <c r="P59" s="13"/>
      <c r="Q59" s="6">
        <f>L59/(1+L59/M59/K59)*D59</f>
        <v>18642524877.181538</v>
      </c>
      <c r="R59" s="6"/>
    </row>
    <row r="60" spans="4:44" ht="15.75">
      <c r="D60" s="2">
        <f>10^E60</f>
        <v>0.90366797208416949</v>
      </c>
      <c r="E60" s="2">
        <f>LOG(J60)/(1+(F60/(I60-0.14*F60))^2)</f>
        <v>-4.3991109767127591E-2</v>
      </c>
      <c r="F60" s="2">
        <f>LOG(G60)+H60</f>
        <v>-4.1370765647047847</v>
      </c>
      <c r="G60" s="6">
        <f>M60*K60/L60</f>
        <v>1.1514188583303326E-4</v>
      </c>
      <c r="H60" s="2">
        <f>-0.4-0.67*LOG(J60)</f>
        <v>-0.19830990290513262</v>
      </c>
      <c r="I60" s="2">
        <f>0.75-1.27*LOG(J60)</f>
        <v>1.1323080944932562</v>
      </c>
      <c r="J60" s="4">
        <f t="shared" si="45"/>
        <v>0.5</v>
      </c>
      <c r="K60" s="8">
        <f t="shared" si="46"/>
        <v>1.6249699302381525E-5</v>
      </c>
      <c r="L60" s="9">
        <f t="shared" si="47"/>
        <v>127764644176961.8</v>
      </c>
      <c r="M60" s="6">
        <f>$B$7*O60^$B$8*EXP(-$B$9/1.987/O60)</f>
        <v>905312879923004.25</v>
      </c>
      <c r="N60" s="2">
        <f>10000/O60</f>
        <v>6.666666666666667</v>
      </c>
      <c r="O60" s="12">
        <v>1500</v>
      </c>
      <c r="P60" s="13"/>
      <c r="Q60" s="6">
        <f>L60/(1+L60/M60/K60)*D60</f>
        <v>13292385120.713076</v>
      </c>
      <c r="R60" s="6"/>
    </row>
    <row r="61" spans="4:44" ht="15.75">
      <c r="D61" s="2">
        <f>10^E61</f>
        <v>0.90897602282242218</v>
      </c>
      <c r="E61" s="2">
        <f>LOG(J61)/(1+(F61/(I61-0.14*F61))^2)</f>
        <v>-4.1447572546187333E-2</v>
      </c>
      <c r="F61" s="2">
        <f>LOG(G61)+H61</f>
        <v>-4.3619513034800397</v>
      </c>
      <c r="G61" s="6">
        <f>M61*K61/L61</f>
        <v>6.8605447172586664E-5</v>
      </c>
      <c r="H61" s="2">
        <f>-0.4-0.67*LOG(J61)</f>
        <v>-0.19830990290513262</v>
      </c>
      <c r="I61" s="2">
        <f>0.75-1.27*LOG(J61)</f>
        <v>1.1323080944932562</v>
      </c>
      <c r="J61" s="4">
        <f t="shared" si="45"/>
        <v>0.5</v>
      </c>
      <c r="K61" s="8">
        <f t="shared" si="46"/>
        <v>1.3541416085317938E-5</v>
      </c>
      <c r="L61" s="9">
        <f t="shared" si="47"/>
        <v>138436444942236.94</v>
      </c>
      <c r="M61" s="6">
        <f>$B$7*O61^$B$8*EXP(-$B$9/1.987/O61)</f>
        <v>701366397015364.12</v>
      </c>
      <c r="N61" s="2">
        <f>10000/O61</f>
        <v>5.5555555555555554</v>
      </c>
      <c r="O61" s="12">
        <v>1800</v>
      </c>
      <c r="P61" s="13"/>
      <c r="Q61" s="6">
        <f>L61/(1+L61/M61/K61)*D61</f>
        <v>8632402284.1889095</v>
      </c>
      <c r="R61" s="6"/>
    </row>
    <row r="62" spans="4:44">
      <c r="D62" s="2" t="s">
        <v>4</v>
      </c>
      <c r="E62" s="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P62">
        <v>3800</v>
      </c>
      <c r="Q62" t="s">
        <v>16</v>
      </c>
      <c r="R62" t="s">
        <v>33</v>
      </c>
    </row>
    <row r="63" spans="4:44" ht="15.75">
      <c r="D63" s="2">
        <f t="shared" ref="D63:D73" si="48">10^E63</f>
        <v>0.76758812281945887</v>
      </c>
      <c r="E63" s="2">
        <f t="shared" ref="E63:E73" si="49">LOG(J63)/(1+(F63/(I63-0.14*F63))^2)</f>
        <v>-0.11487175388690046</v>
      </c>
      <c r="F63" s="2">
        <f t="shared" ref="F63:F73" si="50">LOG(G63)+H63</f>
        <v>-1.754061743718454</v>
      </c>
      <c r="G63" s="6">
        <f t="shared" ref="G63:G73" si="51">M63*K63/L63</f>
        <v>2.7813020710523793E-2</v>
      </c>
      <c r="H63" s="2">
        <f>-0.4-0.67*LOG(J63)</f>
        <v>-0.19830990290513262</v>
      </c>
      <c r="I63" s="2">
        <f t="shared" ref="I63:I73" si="52">0.75-1.27*LOG(J63)</f>
        <v>1.1323080944932562</v>
      </c>
      <c r="J63" s="4">
        <f>(1-$B$10)*EXP(-O63/$B$11)+$B$10*EXP(-O63/$B$12)+EXP(-B$13/O63)</f>
        <v>0.5</v>
      </c>
      <c r="K63" s="8">
        <f>$P$62*101325/760/8.314/O63/1000000</f>
        <v>2.0312124127976907E-4</v>
      </c>
      <c r="L63" s="9">
        <f>B$4*O63^B$5*EXP(-B$6/1.987/O63)</f>
        <v>62930892040738.875</v>
      </c>
      <c r="M63" s="6">
        <f t="shared" ref="M63:M73" si="53">$B$7*O63^$B$8*EXP(-$B$9/1.987/O63)</f>
        <v>8617012148178210</v>
      </c>
      <c r="N63" s="2">
        <f t="shared" ref="N63:N73" si="54">10000/O63</f>
        <v>33.333333333333336</v>
      </c>
      <c r="O63" s="12">
        <v>300</v>
      </c>
      <c r="P63" s="13"/>
      <c r="Q63" s="20">
        <f t="shared" ref="Q63:Q73" si="55">L63/(1+L63/M63/K63)*D63</f>
        <v>1307152259652.7405</v>
      </c>
      <c r="R63" s="20"/>
      <c r="S63" s="6"/>
    </row>
    <row r="64" spans="4:44" ht="15.75">
      <c r="D64" s="2">
        <f t="shared" si="48"/>
        <v>0.80427792321593528</v>
      </c>
      <c r="E64" s="2">
        <f t="shared" si="49"/>
        <v>-9.4593852169129425E-2</v>
      </c>
      <c r="F64" s="2">
        <f t="shared" si="50"/>
        <v>-2.1088877556860255</v>
      </c>
      <c r="G64" s="6">
        <f t="shared" si="51"/>
        <v>1.2286329188399413E-2</v>
      </c>
      <c r="H64" s="2">
        <f t="shared" ref="H64:H73" si="56">-0.4-0.67*LOG(J64)</f>
        <v>-0.19830990290513262</v>
      </c>
      <c r="I64" s="2">
        <f t="shared" si="52"/>
        <v>1.1323080944932562</v>
      </c>
      <c r="J64" s="4">
        <f t="shared" ref="J64:J75" si="57">(1-$B$10)*EXP(-O64/$B$11)+$B$10*EXP(-O64/$B$12)+EXP(-B$13/O64)</f>
        <v>0.5</v>
      </c>
      <c r="K64" s="8">
        <f t="shared" ref="K64:K75" si="58">$P$62*101325/760/8.314/O64/1000000</f>
        <v>1.523409309598268E-4</v>
      </c>
      <c r="L64" s="9">
        <f t="shared" ref="L64:L75" si="59">B$4*O64^B$5*EXP(-B$6/1.987/O64)</f>
        <v>71422809880754.094</v>
      </c>
      <c r="M64" s="6">
        <f t="shared" si="53"/>
        <v>5760265138374527</v>
      </c>
      <c r="N64" s="2">
        <f t="shared" si="54"/>
        <v>25</v>
      </c>
      <c r="O64" s="12">
        <v>400</v>
      </c>
      <c r="P64" s="13"/>
      <c r="Q64" s="6">
        <f t="shared" si="55"/>
        <v>697207186942.92432</v>
      </c>
      <c r="R64" s="6"/>
    </row>
    <row r="65" spans="4:19" ht="15.75">
      <c r="D65" s="2">
        <f t="shared" si="48"/>
        <v>0.82680004367749516</v>
      </c>
      <c r="E65" s="2">
        <f t="shared" si="49"/>
        <v>-8.2599509102206245E-2</v>
      </c>
      <c r="F65" s="2">
        <f t="shared" si="50"/>
        <v>-2.3841121926289057</v>
      </c>
      <c r="G65" s="6">
        <f t="shared" si="51"/>
        <v>6.5192511199077966E-3</v>
      </c>
      <c r="H65" s="2">
        <f t="shared" si="56"/>
        <v>-0.19830990290513262</v>
      </c>
      <c r="I65" s="2">
        <f t="shared" si="52"/>
        <v>1.1323080944932562</v>
      </c>
      <c r="J65" s="4">
        <f t="shared" si="57"/>
        <v>0.5</v>
      </c>
      <c r="K65" s="8">
        <f t="shared" si="58"/>
        <v>1.2187274476786144E-4</v>
      </c>
      <c r="L65" s="9">
        <f t="shared" si="59"/>
        <v>78791131571571.406</v>
      </c>
      <c r="M65" s="6">
        <f t="shared" si="53"/>
        <v>4214717357151247.5</v>
      </c>
      <c r="N65" s="2">
        <f t="shared" si="54"/>
        <v>20</v>
      </c>
      <c r="O65" s="12">
        <v>500</v>
      </c>
      <c r="P65" s="13"/>
      <c r="Q65" s="6">
        <f t="shared" si="55"/>
        <v>421942676189.8197</v>
      </c>
      <c r="R65" s="6"/>
    </row>
    <row r="66" spans="4:19" ht="15.75">
      <c r="D66" s="2">
        <f t="shared" si="48"/>
        <v>0.84216458425479301</v>
      </c>
      <c r="E66" s="2">
        <f t="shared" si="49"/>
        <v>-7.4603026019670685E-2</v>
      </c>
      <c r="F66" s="2">
        <f t="shared" si="50"/>
        <v>-2.6089869314041603</v>
      </c>
      <c r="G66" s="6">
        <f t="shared" si="51"/>
        <v>3.8843912888505659E-3</v>
      </c>
      <c r="H66" s="2">
        <f t="shared" si="56"/>
        <v>-0.19830990290513262</v>
      </c>
      <c r="I66" s="2">
        <f t="shared" si="52"/>
        <v>1.1323080944932562</v>
      </c>
      <c r="J66" s="4">
        <f t="shared" si="57"/>
        <v>0.5</v>
      </c>
      <c r="K66" s="8">
        <f t="shared" si="58"/>
        <v>1.0156062063988453E-4</v>
      </c>
      <c r="L66" s="9">
        <f t="shared" si="59"/>
        <v>85372320472608.625</v>
      </c>
      <c r="M66" s="6">
        <f t="shared" si="53"/>
        <v>3265237016703768.5</v>
      </c>
      <c r="N66" s="2">
        <f t="shared" si="54"/>
        <v>16.666666666666668</v>
      </c>
      <c r="O66" s="12">
        <v>600</v>
      </c>
      <c r="P66" s="13"/>
      <c r="Q66" s="6">
        <f t="shared" si="55"/>
        <v>278197568412.8468</v>
      </c>
      <c r="R66" s="6"/>
    </row>
    <row r="67" spans="4:19" ht="15.75">
      <c r="D67" s="2">
        <f t="shared" si="48"/>
        <v>0.85340584560197541</v>
      </c>
      <c r="E67" s="2">
        <f t="shared" si="49"/>
        <v>-6.8844386665379634E-2</v>
      </c>
      <c r="F67" s="2">
        <f t="shared" si="50"/>
        <v>-2.7991158139551016</v>
      </c>
      <c r="G67" s="6">
        <f t="shared" si="51"/>
        <v>2.5072294994075124E-3</v>
      </c>
      <c r="H67" s="2">
        <f t="shared" si="56"/>
        <v>-0.19830990290513262</v>
      </c>
      <c r="I67" s="2">
        <f t="shared" si="52"/>
        <v>1.1323080944932562</v>
      </c>
      <c r="J67" s="4">
        <f t="shared" si="57"/>
        <v>0.5</v>
      </c>
      <c r="K67" s="8">
        <f t="shared" si="58"/>
        <v>8.7051960548472444E-5</v>
      </c>
      <c r="L67" s="9">
        <f t="shared" si="59"/>
        <v>91363698805302.516</v>
      </c>
      <c r="M67" s="6">
        <f t="shared" si="53"/>
        <v>2631414150541575.5</v>
      </c>
      <c r="N67" s="2">
        <f t="shared" si="54"/>
        <v>14.285714285714286</v>
      </c>
      <c r="O67" s="12">
        <v>700</v>
      </c>
      <c r="P67" s="13"/>
      <c r="Q67" s="6">
        <f t="shared" si="55"/>
        <v>195000561773.24594</v>
      </c>
      <c r="R67" s="6"/>
    </row>
    <row r="68" spans="4:19" ht="15.75">
      <c r="D68" s="2">
        <f t="shared" si="48"/>
        <v>0.86204547380874141</v>
      </c>
      <c r="E68" s="2">
        <f t="shared" si="49"/>
        <v>-6.446982407864281E-2</v>
      </c>
      <c r="F68" s="2">
        <f t="shared" si="50"/>
        <v>-2.9638129433717317</v>
      </c>
      <c r="G68" s="6">
        <f t="shared" si="51"/>
        <v>1.7159196970399952E-3</v>
      </c>
      <c r="H68" s="2">
        <f t="shared" si="56"/>
        <v>-0.19830990290513262</v>
      </c>
      <c r="I68" s="2">
        <f t="shared" si="52"/>
        <v>1.1323080944932562</v>
      </c>
      <c r="J68" s="4">
        <f t="shared" si="57"/>
        <v>0.5</v>
      </c>
      <c r="K68" s="8">
        <f t="shared" si="58"/>
        <v>7.6170465479913401E-5</v>
      </c>
      <c r="L68" s="9">
        <f t="shared" si="59"/>
        <v>96892492962703.328</v>
      </c>
      <c r="M68" s="6">
        <f t="shared" si="53"/>
        <v>2182732324431645</v>
      </c>
      <c r="N68" s="2">
        <f t="shared" si="54"/>
        <v>12.5</v>
      </c>
      <c r="O68" s="12">
        <v>800</v>
      </c>
      <c r="P68" s="13"/>
      <c r="Q68" s="6">
        <f t="shared" si="55"/>
        <v>143077943642.33176</v>
      </c>
      <c r="R68" s="6"/>
    </row>
    <row r="69" spans="4:19" ht="15.75">
      <c r="D69" s="2">
        <f t="shared" si="48"/>
        <v>0.86893136474322941</v>
      </c>
      <c r="E69" s="2">
        <f t="shared" si="49"/>
        <v>-6.1014526302178247E-2</v>
      </c>
      <c r="F69" s="2">
        <f t="shared" si="50"/>
        <v>-3.1090861071222951</v>
      </c>
      <c r="G69" s="6">
        <f t="shared" si="51"/>
        <v>1.2280719044337929E-3</v>
      </c>
      <c r="H69" s="2">
        <f t="shared" si="56"/>
        <v>-0.19830990290513262</v>
      </c>
      <c r="I69" s="2">
        <f t="shared" si="52"/>
        <v>1.1323080944932562</v>
      </c>
      <c r="J69" s="4">
        <f t="shared" si="57"/>
        <v>0.5</v>
      </c>
      <c r="K69" s="8">
        <f t="shared" si="58"/>
        <v>6.7707080426589685E-5</v>
      </c>
      <c r="L69" s="9">
        <f t="shared" si="59"/>
        <v>102046294664777.16</v>
      </c>
      <c r="M69" s="6">
        <f t="shared" si="53"/>
        <v>1850917018424111</v>
      </c>
      <c r="N69" s="2">
        <f t="shared" si="54"/>
        <v>11.111111111111111</v>
      </c>
      <c r="O69" s="12">
        <v>900</v>
      </c>
      <c r="P69" s="13"/>
      <c r="Q69" s="6">
        <f t="shared" si="55"/>
        <v>108761075072.30038</v>
      </c>
      <c r="R69" s="6"/>
    </row>
    <row r="70" spans="4:19" ht="15.75">
      <c r="D70" s="2">
        <f t="shared" si="48"/>
        <v>0.87457446939695727</v>
      </c>
      <c r="E70" s="2">
        <f t="shared" si="49"/>
        <v>-5.8203204743113773E-2</v>
      </c>
      <c r="F70" s="2">
        <f t="shared" si="50"/>
        <v>-3.2390373803146124</v>
      </c>
      <c r="G70" s="6">
        <f t="shared" si="51"/>
        <v>9.1048442826698701E-4</v>
      </c>
      <c r="H70" s="2">
        <f t="shared" si="56"/>
        <v>-0.19830990290513262</v>
      </c>
      <c r="I70" s="2">
        <f t="shared" si="52"/>
        <v>1.1323080944932562</v>
      </c>
      <c r="J70" s="4">
        <f t="shared" si="57"/>
        <v>0.5</v>
      </c>
      <c r="K70" s="8">
        <f t="shared" si="58"/>
        <v>6.0936372383930719E-5</v>
      </c>
      <c r="L70" s="9">
        <f t="shared" si="59"/>
        <v>106888390054492.66</v>
      </c>
      <c r="M70" s="6">
        <f t="shared" si="53"/>
        <v>1597079230348266.7</v>
      </c>
      <c r="N70" s="2">
        <f t="shared" si="54"/>
        <v>10</v>
      </c>
      <c r="O70" s="12">
        <v>1000</v>
      </c>
      <c r="P70" s="13"/>
      <c r="Q70" s="6">
        <f t="shared" si="55"/>
        <v>85036350865.797974</v>
      </c>
      <c r="R70" s="6"/>
    </row>
    <row r="71" spans="4:19" ht="15.75">
      <c r="D71" s="2">
        <f t="shared" si="48"/>
        <v>0.87930180834748106</v>
      </c>
      <c r="E71" s="2">
        <f t="shared" si="49"/>
        <v>-5.5862033683111191E-2</v>
      </c>
      <c r="F71" s="2">
        <f t="shared" si="50"/>
        <v>-3.356592606163971</v>
      </c>
      <c r="G71" s="6">
        <f t="shared" si="51"/>
        <v>6.9457203990483862E-4</v>
      </c>
      <c r="H71" s="2">
        <f t="shared" si="56"/>
        <v>-0.19830990290513262</v>
      </c>
      <c r="I71" s="2">
        <f t="shared" si="52"/>
        <v>1.1323080944932562</v>
      </c>
      <c r="J71" s="4">
        <f t="shared" si="57"/>
        <v>0.5</v>
      </c>
      <c r="K71" s="8">
        <f t="shared" si="58"/>
        <v>5.5396702167209748E-5</v>
      </c>
      <c r="L71" s="9">
        <f t="shared" si="59"/>
        <v>111466231171731.97</v>
      </c>
      <c r="M71" s="6">
        <f t="shared" si="53"/>
        <v>1397580082145777.5</v>
      </c>
      <c r="N71" s="2">
        <f t="shared" si="54"/>
        <v>9.0909090909090917</v>
      </c>
      <c r="O71" s="12">
        <v>1100</v>
      </c>
      <c r="P71" s="13"/>
      <c r="Q71" s="6">
        <f t="shared" si="55"/>
        <v>68029461970.791855</v>
      </c>
      <c r="R71" s="6"/>
    </row>
    <row r="72" spans="4:19" ht="15.75">
      <c r="D72" s="2">
        <f t="shared" si="48"/>
        <v>0.88333290435583711</v>
      </c>
      <c r="E72" s="2">
        <f t="shared" si="49"/>
        <v>-5.3875591691463644E-2</v>
      </c>
      <c r="F72" s="2">
        <f t="shared" si="50"/>
        <v>-3.463912119089867</v>
      </c>
      <c r="G72" s="6">
        <f t="shared" si="51"/>
        <v>5.4249755328406382E-4</v>
      </c>
      <c r="H72" s="2">
        <f t="shared" si="56"/>
        <v>-0.19830990290513262</v>
      </c>
      <c r="I72" s="2">
        <f t="shared" si="52"/>
        <v>1.1323080944932562</v>
      </c>
      <c r="J72" s="4">
        <f t="shared" si="57"/>
        <v>0.5</v>
      </c>
      <c r="K72" s="8">
        <f t="shared" si="58"/>
        <v>5.0780310319942267E-5</v>
      </c>
      <c r="L72" s="9">
        <f t="shared" si="59"/>
        <v>115816459397390.31</v>
      </c>
      <c r="M72" s="6">
        <f t="shared" si="53"/>
        <v>1237293459950222.7</v>
      </c>
      <c r="N72" s="2">
        <f t="shared" si="54"/>
        <v>8.3333333333333339</v>
      </c>
      <c r="O72" s="12">
        <v>1200</v>
      </c>
      <c r="P72" s="13"/>
      <c r="Q72" s="6">
        <f t="shared" si="55"/>
        <v>55469842963.437477</v>
      </c>
      <c r="R72" s="6"/>
    </row>
    <row r="73" spans="4:19" ht="15.75">
      <c r="D73" s="2">
        <f t="shared" si="48"/>
        <v>0.88682092526813594</v>
      </c>
      <c r="E73" s="2">
        <f t="shared" si="49"/>
        <v>-5.2164067901632978E-2</v>
      </c>
      <c r="F73" s="2">
        <f t="shared" si="50"/>
        <v>-3.5626365008660286</v>
      </c>
      <c r="G73" s="6">
        <f t="shared" si="51"/>
        <v>4.3218869442833229E-4</v>
      </c>
      <c r="H73" s="2">
        <f t="shared" si="56"/>
        <v>-0.19830990290513262</v>
      </c>
      <c r="I73" s="2">
        <f t="shared" si="52"/>
        <v>1.1323080944932562</v>
      </c>
      <c r="J73" s="4">
        <f t="shared" si="57"/>
        <v>0.5</v>
      </c>
      <c r="K73" s="8">
        <f t="shared" si="58"/>
        <v>4.6874132603023633E-5</v>
      </c>
      <c r="L73" s="9">
        <f t="shared" si="59"/>
        <v>119968053059570.45</v>
      </c>
      <c r="M73" s="6">
        <f t="shared" si="53"/>
        <v>1106128974460854.9</v>
      </c>
      <c r="N73" s="2">
        <f t="shared" si="54"/>
        <v>7.6923076923076925</v>
      </c>
      <c r="O73" s="12">
        <v>1300</v>
      </c>
      <c r="P73" s="13"/>
      <c r="Q73" s="6">
        <f t="shared" si="55"/>
        <v>45960769190.232475</v>
      </c>
      <c r="R73" s="6"/>
    </row>
    <row r="74" spans="4:19" ht="15.75">
      <c r="D74" s="2">
        <f>10^E74</f>
        <v>0.89258039961726432</v>
      </c>
      <c r="E74" s="2">
        <f>LOG(J74)/(1+(F74/(I74-0.14*F74))^2)</f>
        <v>-4.9352654165360346E-2</v>
      </c>
      <c r="F74" s="2">
        <f>LOG(G74)+H74</f>
        <v>-3.7391365560327472</v>
      </c>
      <c r="G74" s="6">
        <f>M74*K74/L74</f>
        <v>2.8785471458258314E-4</v>
      </c>
      <c r="H74" s="2">
        <f>-0.4-0.67*LOG(J74)</f>
        <v>-0.19830990290513262</v>
      </c>
      <c r="I74" s="2">
        <f>0.75-1.27*LOG(J74)</f>
        <v>1.1323080944932562</v>
      </c>
      <c r="J74" s="4">
        <f t="shared" si="57"/>
        <v>0.5</v>
      </c>
      <c r="K74" s="8">
        <f t="shared" si="58"/>
        <v>4.0624248255953815E-5</v>
      </c>
      <c r="L74" s="9">
        <f t="shared" si="59"/>
        <v>127764644176961.8</v>
      </c>
      <c r="M74" s="6">
        <f>$B$7*O74^$B$8*EXP(-$B$9/1.987/O74)</f>
        <v>905312879923004.25</v>
      </c>
      <c r="N74" s="2">
        <f>10000/O74</f>
        <v>6.666666666666667</v>
      </c>
      <c r="O74" s="12">
        <v>1500</v>
      </c>
      <c r="P74" s="13"/>
      <c r="Q74" s="6">
        <f>L74/(1+L74/M74/K74)*D74</f>
        <v>32817567468.982922</v>
      </c>
      <c r="R74" s="6"/>
    </row>
    <row r="75" spans="4:19" ht="15.75">
      <c r="D75" s="2">
        <f>10^E75</f>
        <v>0.89913790517484082</v>
      </c>
      <c r="E75" s="2">
        <f>LOG(J75)/(1+(F75/(I75-0.14*F75))^2)</f>
        <v>-4.6173693290907238E-2</v>
      </c>
      <c r="F75" s="2">
        <f>LOG(G75)+H75</f>
        <v>-3.9640112948080017</v>
      </c>
      <c r="G75" s="6">
        <f>M75*K75/L75</f>
        <v>1.7151361793146667E-4</v>
      </c>
      <c r="H75" s="2">
        <f>-0.4-0.67*LOG(J75)</f>
        <v>-0.19830990290513262</v>
      </c>
      <c r="I75" s="2">
        <f>0.75-1.27*LOG(J75)</f>
        <v>1.1323080944932562</v>
      </c>
      <c r="J75" s="4">
        <f t="shared" si="57"/>
        <v>0.5</v>
      </c>
      <c r="K75" s="8">
        <f t="shared" si="58"/>
        <v>3.3853540213294842E-5</v>
      </c>
      <c r="L75" s="9">
        <f t="shared" si="59"/>
        <v>138436444942236.94</v>
      </c>
      <c r="M75" s="6">
        <f>$B$7*O75^$B$8*EXP(-$B$9/1.987/O75)</f>
        <v>701366397015364.12</v>
      </c>
      <c r="N75" s="2">
        <f>10000/O75</f>
        <v>5.5555555555555554</v>
      </c>
      <c r="O75" s="12">
        <v>1800</v>
      </c>
      <c r="P75" s="13"/>
      <c r="Q75" s="6">
        <f>L75/(1+L75/M75/K75)*D75</f>
        <v>21345231623.624077</v>
      </c>
      <c r="R75" s="6"/>
    </row>
    <row r="76" spans="4:19">
      <c r="D76" s="2" t="s">
        <v>4</v>
      </c>
      <c r="E76" s="2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13</v>
      </c>
      <c r="N76" s="2" t="s">
        <v>14</v>
      </c>
      <c r="P76">
        <f>760*10</f>
        <v>7600</v>
      </c>
      <c r="Q76" s="6" t="s">
        <v>16</v>
      </c>
      <c r="R76" t="s">
        <v>34</v>
      </c>
    </row>
    <row r="77" spans="4:19" ht="15.75">
      <c r="D77" s="2">
        <f t="shared" ref="D77:D87" si="60">10^E77</f>
        <v>0.72798825233816233</v>
      </c>
      <c r="E77" s="2">
        <f t="shared" ref="E77:E87" si="61">LOG(J77)/(1+(F77/(I77-0.14*F77))^2)</f>
        <v>-0.13787562890932076</v>
      </c>
      <c r="F77" s="2">
        <f t="shared" ref="F77:F87" si="62">LOG(G77)+H77</f>
        <v>-1.4530317480544728</v>
      </c>
      <c r="G77" s="6">
        <f t="shared" ref="G77:G87" si="63">M77*K77/L77</f>
        <v>5.5626041421047587E-2</v>
      </c>
      <c r="H77" s="2">
        <f>-0.4-0.67*LOG(J77)</f>
        <v>-0.19830990290513262</v>
      </c>
      <c r="I77" s="2">
        <f t="shared" ref="I77:I87" si="64">0.75-1.27*LOG(J77)</f>
        <v>1.1323080944932562</v>
      </c>
      <c r="J77" s="4">
        <f>(1-$B$10)*EXP(-O77/$B$11)+$B$10*EXP(-O77/$B$12)+EXP(-B$13/O77)</f>
        <v>0.5</v>
      </c>
      <c r="K77" s="8">
        <f>$P$76*101325/760/8.314/O77/1000000</f>
        <v>4.0624248255953814E-4</v>
      </c>
      <c r="L77" s="9">
        <f>B$4*O77^B$5*EXP(-B$6/1.987/O77)</f>
        <v>62930892040738.875</v>
      </c>
      <c r="M77" s="6">
        <f t="shared" ref="M77:M87" si="65">$B$7*O77^$B$8*EXP(-$B$9/1.987/O77)</f>
        <v>8617012148178210</v>
      </c>
      <c r="N77" s="2">
        <f t="shared" ref="N77:N87" si="66">10000/O77</f>
        <v>33.333333333333336</v>
      </c>
      <c r="O77" s="12">
        <v>300</v>
      </c>
      <c r="P77" s="13"/>
      <c r="Q77" s="6">
        <f t="shared" ref="Q77:Q87" si="67">L77/(1+L77/M77/K77)*D77</f>
        <v>2414105905607.21</v>
      </c>
      <c r="R77" s="6"/>
    </row>
    <row r="78" spans="4:19" ht="15.75">
      <c r="D78" s="2">
        <f t="shared" si="60"/>
        <v>0.77379234041448941</v>
      </c>
      <c r="E78" s="2">
        <f t="shared" si="61"/>
        <v>-0.11137557357081558</v>
      </c>
      <c r="F78" s="2">
        <f t="shared" si="62"/>
        <v>-1.8078577600220442</v>
      </c>
      <c r="G78" s="6">
        <f t="shared" si="63"/>
        <v>2.4572658376798825E-2</v>
      </c>
      <c r="H78" s="2">
        <f t="shared" ref="H78:H87" si="68">-0.4-0.67*LOG(J78)</f>
        <v>-0.19830990290513262</v>
      </c>
      <c r="I78" s="2">
        <f t="shared" si="64"/>
        <v>1.1323080944932562</v>
      </c>
      <c r="J78" s="4">
        <f t="shared" ref="J78:J89" si="69">(1-$B$10)*EXP(-O78/$B$11)+$B$10*EXP(-O78/$B$12)+EXP(-B$13/O78)</f>
        <v>0.5</v>
      </c>
      <c r="K78" s="8">
        <f t="shared" ref="K78:K89" si="70">$P$76*101325/760/8.314/O78/1000000</f>
        <v>3.046818619196536E-4</v>
      </c>
      <c r="L78" s="9">
        <f t="shared" ref="L78:L89" si="71">B$4*O78^B$5*EXP(-B$6/1.987/O78)</f>
        <v>71422809880754.094</v>
      </c>
      <c r="M78" s="6">
        <f t="shared" si="65"/>
        <v>5760265138374527</v>
      </c>
      <c r="N78" s="2">
        <f t="shared" si="66"/>
        <v>25</v>
      </c>
      <c r="O78" s="12">
        <v>400</v>
      </c>
      <c r="P78" s="13"/>
      <c r="Q78" s="20">
        <f t="shared" si="67"/>
        <v>1325472553172.3599</v>
      </c>
      <c r="R78" s="20"/>
      <c r="S78" s="6"/>
    </row>
    <row r="79" spans="4:19" ht="15.75">
      <c r="D79" s="2">
        <f t="shared" si="60"/>
        <v>0.80192354952817457</v>
      </c>
      <c r="E79" s="2">
        <f t="shared" si="61"/>
        <v>-9.5867032714141695E-2</v>
      </c>
      <c r="F79" s="2">
        <f t="shared" si="62"/>
        <v>-2.0830821969649245</v>
      </c>
      <c r="G79" s="6">
        <f t="shared" si="63"/>
        <v>1.3038502239815593E-2</v>
      </c>
      <c r="H79" s="2">
        <f t="shared" si="68"/>
        <v>-0.19830990290513262</v>
      </c>
      <c r="I79" s="2">
        <f t="shared" si="64"/>
        <v>1.1323080944932562</v>
      </c>
      <c r="J79" s="4">
        <f t="shared" si="69"/>
        <v>0.5</v>
      </c>
      <c r="K79" s="8">
        <f t="shared" si="70"/>
        <v>2.4374548953572288E-4</v>
      </c>
      <c r="L79" s="9">
        <f t="shared" si="71"/>
        <v>78791131571571.406</v>
      </c>
      <c r="M79" s="6">
        <f t="shared" si="65"/>
        <v>4214717357151247.5</v>
      </c>
      <c r="N79" s="2">
        <f t="shared" si="66"/>
        <v>20</v>
      </c>
      <c r="O79" s="12">
        <v>500</v>
      </c>
      <c r="P79" s="13"/>
      <c r="Q79" s="6">
        <f t="shared" si="67"/>
        <v>813227505446.31055</v>
      </c>
      <c r="R79" s="6"/>
    </row>
    <row r="80" spans="4:19" ht="15.75">
      <c r="D80" s="2">
        <f t="shared" si="60"/>
        <v>0.821012801500412</v>
      </c>
      <c r="E80" s="2">
        <f t="shared" si="61"/>
        <v>-8.5650071166009811E-2</v>
      </c>
      <c r="F80" s="2">
        <f t="shared" si="62"/>
        <v>-2.307956935740179</v>
      </c>
      <c r="G80" s="6">
        <f t="shared" si="63"/>
        <v>7.7687825777011318E-3</v>
      </c>
      <c r="H80" s="2">
        <f t="shared" si="68"/>
        <v>-0.19830990290513262</v>
      </c>
      <c r="I80" s="2">
        <f t="shared" si="64"/>
        <v>1.1323080944932562</v>
      </c>
      <c r="J80" s="4">
        <f t="shared" si="69"/>
        <v>0.5</v>
      </c>
      <c r="K80" s="8">
        <f t="shared" si="70"/>
        <v>2.0312124127976907E-4</v>
      </c>
      <c r="L80" s="9">
        <f t="shared" si="71"/>
        <v>85372320472608.625</v>
      </c>
      <c r="M80" s="6">
        <f t="shared" si="65"/>
        <v>3265237016703768.5</v>
      </c>
      <c r="N80" s="2">
        <f t="shared" si="66"/>
        <v>16.666666666666668</v>
      </c>
      <c r="O80" s="12">
        <v>600</v>
      </c>
      <c r="P80" s="13"/>
      <c r="Q80" s="6">
        <f t="shared" si="67"/>
        <v>540329999804.02417</v>
      </c>
      <c r="R80" s="6"/>
      <c r="S80" s="6"/>
    </row>
    <row r="81" spans="4:19" ht="15.75">
      <c r="D81" s="2">
        <f t="shared" si="60"/>
        <v>0.83489205101603214</v>
      </c>
      <c r="E81" s="2">
        <f t="shared" si="61"/>
        <v>-7.8369673832278636E-2</v>
      </c>
      <c r="F81" s="2">
        <f t="shared" si="62"/>
        <v>-2.4980858182911203</v>
      </c>
      <c r="G81" s="6">
        <f t="shared" si="63"/>
        <v>5.0144589988150249E-3</v>
      </c>
      <c r="H81" s="2">
        <f t="shared" si="68"/>
        <v>-0.19830990290513262</v>
      </c>
      <c r="I81" s="2">
        <f t="shared" si="64"/>
        <v>1.1323080944932562</v>
      </c>
      <c r="J81" s="4">
        <f t="shared" si="69"/>
        <v>0.5</v>
      </c>
      <c r="K81" s="8">
        <f t="shared" si="70"/>
        <v>1.7410392109694489E-4</v>
      </c>
      <c r="L81" s="9">
        <f t="shared" si="71"/>
        <v>91363698805302.516</v>
      </c>
      <c r="M81" s="6">
        <f t="shared" si="65"/>
        <v>2631414150541575.5</v>
      </c>
      <c r="N81" s="2">
        <f t="shared" si="66"/>
        <v>14.285714285714286</v>
      </c>
      <c r="O81" s="12">
        <v>700</v>
      </c>
      <c r="P81" s="13"/>
      <c r="Q81" s="6">
        <f t="shared" si="67"/>
        <v>380588598948.07629</v>
      </c>
      <c r="R81" s="6"/>
    </row>
    <row r="82" spans="4:19" ht="15.75">
      <c r="D82" s="2">
        <f t="shared" si="60"/>
        <v>0.84549511441466063</v>
      </c>
      <c r="E82" s="2">
        <f t="shared" si="61"/>
        <v>-7.2888897574085676E-2</v>
      </c>
      <c r="F82" s="2">
        <f t="shared" si="62"/>
        <v>-2.6627829477077505</v>
      </c>
      <c r="G82" s="6">
        <f t="shared" si="63"/>
        <v>3.4318393940799903E-3</v>
      </c>
      <c r="H82" s="2">
        <f t="shared" si="68"/>
        <v>-0.19830990290513262</v>
      </c>
      <c r="I82" s="2">
        <f t="shared" si="64"/>
        <v>1.1323080944932562</v>
      </c>
      <c r="J82" s="4">
        <f t="shared" si="69"/>
        <v>0.5</v>
      </c>
      <c r="K82" s="8">
        <f t="shared" si="70"/>
        <v>1.523409309598268E-4</v>
      </c>
      <c r="L82" s="9">
        <f t="shared" si="71"/>
        <v>96892492962703.328</v>
      </c>
      <c r="M82" s="6">
        <f t="shared" si="65"/>
        <v>2182732324431645</v>
      </c>
      <c r="N82" s="2">
        <f t="shared" si="66"/>
        <v>12.5</v>
      </c>
      <c r="O82" s="12">
        <v>800</v>
      </c>
      <c r="P82" s="13"/>
      <c r="Q82" s="6">
        <f t="shared" si="67"/>
        <v>280182051201.39392</v>
      </c>
      <c r="R82" s="6"/>
    </row>
    <row r="83" spans="4:19" ht="15.75">
      <c r="D83" s="2">
        <f t="shared" si="60"/>
        <v>0.85389953055174084</v>
      </c>
      <c r="E83" s="2">
        <f t="shared" si="61"/>
        <v>-6.8593225205394556E-2</v>
      </c>
      <c r="F83" s="2">
        <f t="shared" si="62"/>
        <v>-2.8080561114583138</v>
      </c>
      <c r="G83" s="6">
        <f t="shared" si="63"/>
        <v>2.4561438088675858E-3</v>
      </c>
      <c r="H83" s="2">
        <f t="shared" si="68"/>
        <v>-0.19830990290513262</v>
      </c>
      <c r="I83" s="2">
        <f t="shared" si="64"/>
        <v>1.1323080944932562</v>
      </c>
      <c r="J83" s="4">
        <f t="shared" si="69"/>
        <v>0.5</v>
      </c>
      <c r="K83" s="8">
        <f t="shared" si="70"/>
        <v>1.3541416085317937E-4</v>
      </c>
      <c r="L83" s="9">
        <f t="shared" si="71"/>
        <v>102046294664777.16</v>
      </c>
      <c r="M83" s="6">
        <f t="shared" si="65"/>
        <v>1850917018424111</v>
      </c>
      <c r="N83" s="2">
        <f t="shared" si="66"/>
        <v>11.111111111111111</v>
      </c>
      <c r="O83" s="12">
        <v>900</v>
      </c>
      <c r="P83" s="13"/>
      <c r="Q83" s="6">
        <f t="shared" si="67"/>
        <v>213497318312.63242</v>
      </c>
      <c r="R83" s="6"/>
    </row>
    <row r="84" spans="4:19" ht="15.75">
      <c r="D84" s="2">
        <f t="shared" si="60"/>
        <v>0.86075306215114555</v>
      </c>
      <c r="E84" s="2">
        <f t="shared" si="61"/>
        <v>-6.5121423606757073E-2</v>
      </c>
      <c r="F84" s="2">
        <f t="shared" si="62"/>
        <v>-2.9380073846506312</v>
      </c>
      <c r="G84" s="6">
        <f t="shared" si="63"/>
        <v>1.820968856533974E-3</v>
      </c>
      <c r="H84" s="2">
        <f t="shared" si="68"/>
        <v>-0.19830990290513262</v>
      </c>
      <c r="I84" s="2">
        <f t="shared" si="64"/>
        <v>1.1323080944932562</v>
      </c>
      <c r="J84" s="4">
        <f t="shared" si="69"/>
        <v>0.5</v>
      </c>
      <c r="K84" s="8">
        <f t="shared" si="70"/>
        <v>1.2187274476786144E-4</v>
      </c>
      <c r="L84" s="9">
        <f t="shared" si="71"/>
        <v>106888390054492.66</v>
      </c>
      <c r="M84" s="6">
        <f t="shared" si="65"/>
        <v>1597079230348266.7</v>
      </c>
      <c r="N84" s="2">
        <f t="shared" si="66"/>
        <v>10</v>
      </c>
      <c r="O84" s="12">
        <v>1000</v>
      </c>
      <c r="P84" s="13"/>
      <c r="Q84" s="6">
        <f t="shared" si="67"/>
        <v>167232819879.96954</v>
      </c>
      <c r="R84" s="6"/>
      <c r="S84" s="6"/>
    </row>
    <row r="85" spans="4:19" ht="15.75">
      <c r="D85" s="2">
        <f t="shared" si="60"/>
        <v>0.86646890626156536</v>
      </c>
      <c r="E85" s="2">
        <f t="shared" si="61"/>
        <v>-6.2247017579397816E-2</v>
      </c>
      <c r="F85" s="2">
        <f t="shared" si="62"/>
        <v>-3.0555626104999898</v>
      </c>
      <c r="G85" s="6">
        <f t="shared" si="63"/>
        <v>1.3891440798096772E-3</v>
      </c>
      <c r="H85" s="2">
        <f t="shared" si="68"/>
        <v>-0.19830990290513262</v>
      </c>
      <c r="I85" s="2">
        <f t="shared" si="64"/>
        <v>1.1323080944932562</v>
      </c>
      <c r="J85" s="4">
        <f t="shared" si="69"/>
        <v>0.5</v>
      </c>
      <c r="K85" s="8">
        <f t="shared" si="70"/>
        <v>1.107934043344195E-4</v>
      </c>
      <c r="L85" s="9">
        <f t="shared" si="71"/>
        <v>111466231171731.97</v>
      </c>
      <c r="M85" s="6">
        <f t="shared" si="65"/>
        <v>1397580082145777.5</v>
      </c>
      <c r="N85" s="2">
        <f t="shared" si="66"/>
        <v>9.0909090909090917</v>
      </c>
      <c r="O85" s="12">
        <v>1100</v>
      </c>
      <c r="P85" s="13"/>
      <c r="Q85" s="6">
        <f t="shared" si="67"/>
        <v>133980228193.1089</v>
      </c>
      <c r="R85" s="6"/>
    </row>
    <row r="86" spans="4:19" ht="15.75">
      <c r="D86" s="2">
        <f t="shared" si="60"/>
        <v>0.87132342351313752</v>
      </c>
      <c r="E86" s="2">
        <f t="shared" si="61"/>
        <v>-5.9820610807235303E-2</v>
      </c>
      <c r="F86" s="2">
        <f t="shared" si="62"/>
        <v>-3.1628821234258857</v>
      </c>
      <c r="G86" s="6">
        <f t="shared" si="63"/>
        <v>1.0849951065681276E-3</v>
      </c>
      <c r="H86" s="2">
        <f t="shared" si="68"/>
        <v>-0.19830990290513262</v>
      </c>
      <c r="I86" s="2">
        <f t="shared" si="64"/>
        <v>1.1323080944932562</v>
      </c>
      <c r="J86" s="4">
        <f t="shared" si="69"/>
        <v>0.5</v>
      </c>
      <c r="K86" s="8">
        <f t="shared" si="70"/>
        <v>1.0156062063988453E-4</v>
      </c>
      <c r="L86" s="9">
        <f t="shared" si="71"/>
        <v>115816459397390.31</v>
      </c>
      <c r="M86" s="6">
        <f t="shared" si="65"/>
        <v>1237293459950222.7</v>
      </c>
      <c r="N86" s="2">
        <f t="shared" si="66"/>
        <v>8.3333333333333339</v>
      </c>
      <c r="O86" s="12">
        <v>1200</v>
      </c>
      <c r="P86" s="13"/>
      <c r="Q86" s="6">
        <f t="shared" si="67"/>
        <v>109372087389.5058</v>
      </c>
      <c r="R86" s="6"/>
    </row>
    <row r="87" spans="4:19" ht="15.75">
      <c r="D87" s="2">
        <f t="shared" si="60"/>
        <v>0.87550873208980751</v>
      </c>
      <c r="E87" s="2">
        <f t="shared" si="61"/>
        <v>-5.7739518021988921E-2</v>
      </c>
      <c r="F87" s="2">
        <f t="shared" si="62"/>
        <v>-3.2616065052020473</v>
      </c>
      <c r="G87" s="6">
        <f t="shared" si="63"/>
        <v>8.6437738885666458E-4</v>
      </c>
      <c r="H87" s="2">
        <f t="shared" si="68"/>
        <v>-0.19830990290513262</v>
      </c>
      <c r="I87" s="2">
        <f t="shared" si="64"/>
        <v>1.1323080944932562</v>
      </c>
      <c r="J87" s="4">
        <f t="shared" si="69"/>
        <v>0.5</v>
      </c>
      <c r="K87" s="8">
        <f t="shared" si="70"/>
        <v>9.3748265206047265E-5</v>
      </c>
      <c r="L87" s="9">
        <f t="shared" si="71"/>
        <v>119968053059570.45</v>
      </c>
      <c r="M87" s="6">
        <f t="shared" si="65"/>
        <v>1106128974460854.9</v>
      </c>
      <c r="N87" s="2">
        <f t="shared" si="66"/>
        <v>7.6923076923076925</v>
      </c>
      <c r="O87" s="12">
        <v>1300</v>
      </c>
      <c r="P87" s="13"/>
      <c r="Q87" s="6">
        <f t="shared" si="67"/>
        <v>90709810218.331512</v>
      </c>
      <c r="R87" s="6"/>
    </row>
    <row r="88" spans="4:19" ht="15.75">
      <c r="D88" s="2">
        <f>10^E88</f>
        <v>0.88238712616123116</v>
      </c>
      <c r="E88" s="2">
        <f>LOG(J88)/(1+(F88/(I88-0.14*F88))^2)</f>
        <v>-5.4340836784914782E-2</v>
      </c>
      <c r="F88" s="2">
        <f>LOG(G88)+H88</f>
        <v>-3.4381065603687659</v>
      </c>
      <c r="G88" s="6">
        <f>M88*K88/L88</f>
        <v>5.7570942916516628E-4</v>
      </c>
      <c r="H88" s="2">
        <f>-0.4-0.67*LOG(J88)</f>
        <v>-0.19830990290513262</v>
      </c>
      <c r="I88" s="2">
        <f>0.75-1.27*LOG(J88)</f>
        <v>1.1323080944932562</v>
      </c>
      <c r="J88" s="4">
        <f t="shared" si="69"/>
        <v>0.5</v>
      </c>
      <c r="K88" s="8">
        <f t="shared" si="70"/>
        <v>8.124849651190763E-5</v>
      </c>
      <c r="L88" s="9">
        <f t="shared" si="71"/>
        <v>127764644176961.8</v>
      </c>
      <c r="M88" s="6">
        <f>$B$7*O88^$B$8*EXP(-$B$9/1.987/O88)</f>
        <v>905312879923004.25</v>
      </c>
      <c r="N88" s="2">
        <f>10000/O88</f>
        <v>6.666666666666667</v>
      </c>
      <c r="O88" s="12">
        <v>1500</v>
      </c>
      <c r="P88" s="13"/>
      <c r="Q88" s="6">
        <f>L88/(1+L88/M88/K88)*D88</f>
        <v>64866914434.009247</v>
      </c>
      <c r="R88" s="6"/>
    </row>
    <row r="89" spans="4:19" ht="15.75">
      <c r="D89" s="2">
        <f>10^E89</f>
        <v>0.89016651000293068</v>
      </c>
      <c r="E89" s="2">
        <f>LOG(J89)/(1+(F89/(I89-0.14*F89))^2)</f>
        <v>-5.0528748847611049E-2</v>
      </c>
      <c r="F89" s="2">
        <f>LOG(G89)+H89</f>
        <v>-3.6629812991440205</v>
      </c>
      <c r="G89" s="6">
        <f>M89*K89/L89</f>
        <v>3.4302723586293333E-4</v>
      </c>
      <c r="H89" s="2">
        <f>-0.4-0.67*LOG(J89)</f>
        <v>-0.19830990290513262</v>
      </c>
      <c r="I89" s="2">
        <f>0.75-1.27*LOG(J89)</f>
        <v>1.1323080944932562</v>
      </c>
      <c r="J89" s="4">
        <f t="shared" si="69"/>
        <v>0.5</v>
      </c>
      <c r="K89" s="8">
        <f t="shared" si="70"/>
        <v>6.7707080426589685E-5</v>
      </c>
      <c r="L89" s="9">
        <f t="shared" si="71"/>
        <v>138436444942236.94</v>
      </c>
      <c r="M89" s="6">
        <f>$B$7*O89^$B$8*EXP(-$B$9/1.987/O89)</f>
        <v>701366397015364.12</v>
      </c>
      <c r="N89" s="2">
        <f>10000/O89</f>
        <v>5.5555555555555554</v>
      </c>
      <c r="O89" s="12">
        <v>1800</v>
      </c>
      <c r="P89" s="13"/>
      <c r="Q89" s="6">
        <f>L89/(1+L89/M89/K89)*D89</f>
        <v>42257260983.105499</v>
      </c>
      <c r="R89" s="6"/>
    </row>
    <row r="90" spans="4:19">
      <c r="D90" s="2" t="s">
        <v>4</v>
      </c>
      <c r="E90" s="2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s="2" t="s">
        <v>14</v>
      </c>
      <c r="P90">
        <v>22800</v>
      </c>
      <c r="Q90" s="6" t="s">
        <v>16</v>
      </c>
      <c r="R90" t="s">
        <v>35</v>
      </c>
    </row>
    <row r="91" spans="4:19" ht="15.75">
      <c r="D91" s="2">
        <f t="shared" ref="D91:D101" si="72">10^E91</f>
        <v>0.6469178713461059</v>
      </c>
      <c r="E91" s="2">
        <f t="shared" ref="E91:E101" si="73">LOG(J91)/(1+(F91/(I91-0.14*F91))^2)</f>
        <v>-0.18915085114766925</v>
      </c>
      <c r="F91" s="2">
        <f t="shared" ref="F91:F101" si="74">LOG(G91)+H91</f>
        <v>-0.97591049333481039</v>
      </c>
      <c r="G91" s="6">
        <f t="shared" ref="G91:G101" si="75">M91*K91/L91</f>
        <v>0.16687812426314277</v>
      </c>
      <c r="H91" s="2">
        <f>-0.4-0.67*LOG(J91)</f>
        <v>-0.19830990290513262</v>
      </c>
      <c r="I91" s="2">
        <f t="shared" ref="I91:I101" si="76">0.75-1.27*LOG(J91)</f>
        <v>1.1323080944932562</v>
      </c>
      <c r="J91" s="4">
        <f>(1-$B$10)*EXP(-O91/$B$11)+$B$10*EXP(-O91/$B$12)+EXP(-B$13/O91)</f>
        <v>0.5</v>
      </c>
      <c r="K91" s="8">
        <f>$P$90*101325/760/8.314/O91/1000000</f>
        <v>1.2187274476786144E-3</v>
      </c>
      <c r="L91" s="9">
        <f>B$4*O91^B$5*EXP(-B$6/1.987/O91)</f>
        <v>62930892040738.875</v>
      </c>
      <c r="M91" s="6">
        <f t="shared" ref="M91:M101" si="77">$B$7*O91^$B$8*EXP(-$B$9/1.987/O91)</f>
        <v>8617012148178210</v>
      </c>
      <c r="N91" s="2">
        <f t="shared" ref="N91:N101" si="78">10000/O91</f>
        <v>33.333333333333336</v>
      </c>
      <c r="O91" s="12">
        <v>300</v>
      </c>
      <c r="P91" s="13"/>
      <c r="Q91" s="6">
        <f t="shared" ref="Q91:Q101" si="79">L91/(1+L91/M91/K91)*D91</f>
        <v>5822197697886.4902</v>
      </c>
      <c r="R91" s="6"/>
    </row>
    <row r="92" spans="4:19" ht="15.75">
      <c r="D92" s="2">
        <f t="shared" si="72"/>
        <v>0.70935347522178627</v>
      </c>
      <c r="E92" s="2">
        <f t="shared" si="73"/>
        <v>-0.14913729925433394</v>
      </c>
      <c r="F92" s="2">
        <f t="shared" si="74"/>
        <v>-1.3307365053023816</v>
      </c>
      <c r="G92" s="6">
        <f t="shared" si="75"/>
        <v>7.3717975130396476E-2</v>
      </c>
      <c r="H92" s="2">
        <f t="shared" ref="H92:H101" si="80">-0.4-0.67*LOG(J92)</f>
        <v>-0.19830990290513262</v>
      </c>
      <c r="I92" s="2">
        <f t="shared" si="76"/>
        <v>1.1323080944932562</v>
      </c>
      <c r="J92" s="4">
        <f t="shared" ref="J92:J103" si="81">(1-$B$10)*EXP(-O92/$B$11)+$B$10*EXP(-O92/$B$12)+EXP(-B$13/O92)</f>
        <v>0.5</v>
      </c>
      <c r="K92" s="8">
        <f t="shared" ref="K92:K103" si="82">$P$90*101325/760/8.314/O92/1000000</f>
        <v>9.1404558575896081E-4</v>
      </c>
      <c r="L92" s="9">
        <f t="shared" ref="L92:L103" si="83">B$4*O92^B$5*EXP(-B$6/1.987/O92)</f>
        <v>71422809880754.094</v>
      </c>
      <c r="M92" s="6">
        <f t="shared" si="77"/>
        <v>5760265138374527</v>
      </c>
      <c r="N92" s="2">
        <f t="shared" si="78"/>
        <v>25</v>
      </c>
      <c r="O92" s="12">
        <v>400</v>
      </c>
      <c r="P92" s="13"/>
      <c r="Q92" s="6">
        <f t="shared" si="79"/>
        <v>3478426304534.1797</v>
      </c>
      <c r="R92" s="6"/>
      <c r="S92" s="6"/>
    </row>
    <row r="93" spans="4:19" ht="15.75">
      <c r="D93" s="2">
        <f t="shared" si="72"/>
        <v>0.7491799666743042</v>
      </c>
      <c r="E93" s="2">
        <f t="shared" si="73"/>
        <v>-0.12541384432286556</v>
      </c>
      <c r="F93" s="2">
        <f t="shared" si="74"/>
        <v>-1.6059609422452623</v>
      </c>
      <c r="G93" s="6">
        <f t="shared" si="75"/>
        <v>3.9115506719446781E-2</v>
      </c>
      <c r="H93" s="2">
        <f t="shared" si="80"/>
        <v>-0.19830990290513262</v>
      </c>
      <c r="I93" s="2">
        <f t="shared" si="76"/>
        <v>1.1323080944932562</v>
      </c>
      <c r="J93" s="4">
        <f t="shared" si="81"/>
        <v>0.5</v>
      </c>
      <c r="K93" s="8">
        <f t="shared" si="82"/>
        <v>7.312364686071686E-4</v>
      </c>
      <c r="L93" s="9">
        <f t="shared" si="83"/>
        <v>78791131571571.406</v>
      </c>
      <c r="M93" s="6">
        <f t="shared" si="77"/>
        <v>4214717357151247.5</v>
      </c>
      <c r="N93" s="2">
        <f t="shared" si="78"/>
        <v>20</v>
      </c>
      <c r="O93" s="12">
        <v>500</v>
      </c>
      <c r="P93" s="13"/>
      <c r="Q93" s="6">
        <f t="shared" si="79"/>
        <v>2222023400234.6553</v>
      </c>
      <c r="R93" s="6"/>
      <c r="S93" s="6"/>
    </row>
    <row r="94" spans="4:19" ht="15.75">
      <c r="D94" s="2">
        <f t="shared" si="72"/>
        <v>0.77636772458722403</v>
      </c>
      <c r="E94" s="2">
        <f t="shared" si="73"/>
        <v>-0.10993252754053477</v>
      </c>
      <c r="F94" s="2">
        <f t="shared" si="74"/>
        <v>-1.8308356810205169</v>
      </c>
      <c r="G94" s="6">
        <f t="shared" si="75"/>
        <v>2.3306347733103396E-2</v>
      </c>
      <c r="H94" s="2">
        <f t="shared" si="80"/>
        <v>-0.19830990290513262</v>
      </c>
      <c r="I94" s="2">
        <f t="shared" si="76"/>
        <v>1.1323080944932562</v>
      </c>
      <c r="J94" s="4">
        <f t="shared" si="81"/>
        <v>0.5</v>
      </c>
      <c r="K94" s="8">
        <f t="shared" si="82"/>
        <v>6.093637238393072E-4</v>
      </c>
      <c r="L94" s="9">
        <f t="shared" si="83"/>
        <v>85372320472608.625</v>
      </c>
      <c r="M94" s="6">
        <f t="shared" si="77"/>
        <v>3265237016703768.5</v>
      </c>
      <c r="N94" s="2">
        <f t="shared" si="78"/>
        <v>16.666666666666668</v>
      </c>
      <c r="O94" s="12">
        <v>600</v>
      </c>
      <c r="P94" s="13"/>
      <c r="Q94" s="6">
        <f t="shared" si="79"/>
        <v>1509569498662.9255</v>
      </c>
      <c r="R94" s="6"/>
      <c r="S94" s="6"/>
    </row>
    <row r="95" spans="4:19" ht="15.75">
      <c r="D95" s="2">
        <f t="shared" si="72"/>
        <v>0.79606808869828172</v>
      </c>
      <c r="E95" s="2">
        <f t="shared" si="73"/>
        <v>-9.904978492400833E-2</v>
      </c>
      <c r="F95" s="2">
        <f t="shared" si="74"/>
        <v>-2.0209645635714582</v>
      </c>
      <c r="G95" s="6">
        <f t="shared" si="75"/>
        <v>1.5043376996445078E-2</v>
      </c>
      <c r="H95" s="2">
        <f t="shared" si="80"/>
        <v>-0.19830990290513262</v>
      </c>
      <c r="I95" s="2">
        <f t="shared" si="76"/>
        <v>1.1323080944932562</v>
      </c>
      <c r="J95" s="4">
        <f t="shared" si="81"/>
        <v>0.5</v>
      </c>
      <c r="K95" s="8">
        <f t="shared" si="82"/>
        <v>5.2231176329083475E-4</v>
      </c>
      <c r="L95" s="9">
        <f t="shared" si="83"/>
        <v>91363698805302.516</v>
      </c>
      <c r="M95" s="6">
        <f t="shared" si="77"/>
        <v>2631414150541575.5</v>
      </c>
      <c r="N95" s="2">
        <f t="shared" si="78"/>
        <v>14.285714285714286</v>
      </c>
      <c r="O95" s="12">
        <v>700</v>
      </c>
      <c r="P95" s="13"/>
      <c r="Q95" s="6">
        <f t="shared" si="79"/>
        <v>1077915274205.4681</v>
      </c>
      <c r="R95" s="6"/>
      <c r="S95" s="6"/>
    </row>
    <row r="96" spans="4:19" ht="15.75">
      <c r="D96" s="2">
        <f t="shared" si="72"/>
        <v>0.81102289871504418</v>
      </c>
      <c r="E96" s="2">
        <f t="shared" si="73"/>
        <v>-9.0966883587619951E-2</v>
      </c>
      <c r="F96" s="2">
        <f t="shared" si="74"/>
        <v>-2.1856616929880883</v>
      </c>
      <c r="G96" s="6">
        <f t="shared" si="75"/>
        <v>1.0295518182239971E-2</v>
      </c>
      <c r="H96" s="2">
        <f t="shared" si="80"/>
        <v>-0.19830990290513262</v>
      </c>
      <c r="I96" s="2">
        <f t="shared" si="76"/>
        <v>1.1323080944932562</v>
      </c>
      <c r="J96" s="4">
        <f t="shared" si="81"/>
        <v>0.5</v>
      </c>
      <c r="K96" s="8">
        <f t="shared" si="82"/>
        <v>4.570227928794804E-4</v>
      </c>
      <c r="L96" s="9">
        <f t="shared" si="83"/>
        <v>96892492962703.328</v>
      </c>
      <c r="M96" s="6">
        <f t="shared" si="77"/>
        <v>2182732324431645</v>
      </c>
      <c r="N96" s="2">
        <f t="shared" si="78"/>
        <v>12.5</v>
      </c>
      <c r="O96" s="12">
        <v>800</v>
      </c>
      <c r="P96" s="13"/>
      <c r="Q96" s="6">
        <f t="shared" si="79"/>
        <v>800798092553.16162</v>
      </c>
      <c r="R96" s="6"/>
      <c r="S96" s="6"/>
    </row>
    <row r="97" spans="4:19" ht="15.75">
      <c r="D97" s="2">
        <f t="shared" si="72"/>
        <v>0.8227925923620063</v>
      </c>
      <c r="E97" s="2">
        <f t="shared" si="73"/>
        <v>-8.4709626932085558E-2</v>
      </c>
      <c r="F97" s="2">
        <f t="shared" si="74"/>
        <v>-2.3309348567386516</v>
      </c>
      <c r="G97" s="6">
        <f t="shared" si="75"/>
        <v>7.3684314266027565E-3</v>
      </c>
      <c r="H97" s="2">
        <f t="shared" si="80"/>
        <v>-0.19830990290513262</v>
      </c>
      <c r="I97" s="2">
        <f t="shared" si="76"/>
        <v>1.1323080944932562</v>
      </c>
      <c r="J97" s="4">
        <f t="shared" si="81"/>
        <v>0.5</v>
      </c>
      <c r="K97" s="8">
        <f t="shared" si="82"/>
        <v>4.0624248255953814E-4</v>
      </c>
      <c r="L97" s="9">
        <f t="shared" si="83"/>
        <v>102046294664777.16</v>
      </c>
      <c r="M97" s="6">
        <f t="shared" si="77"/>
        <v>1850917018424111</v>
      </c>
      <c r="N97" s="2">
        <f t="shared" si="78"/>
        <v>11.111111111111111</v>
      </c>
      <c r="O97" s="12">
        <v>900</v>
      </c>
      <c r="P97" s="13"/>
      <c r="Q97" s="6">
        <f t="shared" si="79"/>
        <v>614149810576.9989</v>
      </c>
      <c r="R97" s="6"/>
      <c r="S97" s="6"/>
    </row>
    <row r="98" spans="4:19" ht="15.75">
      <c r="D98" s="2">
        <f t="shared" si="72"/>
        <v>0.83232270653838136</v>
      </c>
      <c r="E98" s="2">
        <f t="shared" si="73"/>
        <v>-7.9708257247614045E-2</v>
      </c>
      <c r="F98" s="2">
        <f t="shared" si="74"/>
        <v>-2.4608861299309686</v>
      </c>
      <c r="G98" s="6">
        <f t="shared" si="75"/>
        <v>5.4629065696019221E-3</v>
      </c>
      <c r="H98" s="2">
        <f t="shared" si="80"/>
        <v>-0.19830990290513262</v>
      </c>
      <c r="I98" s="2">
        <f t="shared" si="76"/>
        <v>1.1323080944932562</v>
      </c>
      <c r="J98" s="4">
        <f t="shared" si="81"/>
        <v>0.5</v>
      </c>
      <c r="K98" s="8">
        <f t="shared" si="82"/>
        <v>3.656182343035843E-4</v>
      </c>
      <c r="L98" s="9">
        <f t="shared" si="83"/>
        <v>106888390054492.66</v>
      </c>
      <c r="M98" s="6">
        <f t="shared" si="77"/>
        <v>1597079230348266.7</v>
      </c>
      <c r="N98" s="2">
        <f t="shared" si="78"/>
        <v>10</v>
      </c>
      <c r="O98" s="12">
        <v>1000</v>
      </c>
      <c r="P98" s="13"/>
      <c r="Q98" s="6">
        <f t="shared" si="79"/>
        <v>483370340029.57776</v>
      </c>
      <c r="R98" s="6"/>
      <c r="S98" s="6"/>
    </row>
    <row r="99" spans="4:19" ht="15.75">
      <c r="D99" s="2">
        <f t="shared" si="72"/>
        <v>0.84021746385135698</v>
      </c>
      <c r="E99" s="2">
        <f t="shared" si="73"/>
        <v>-7.5608295928882061E-2</v>
      </c>
      <c r="F99" s="2">
        <f t="shared" si="74"/>
        <v>-2.5784413557803276</v>
      </c>
      <c r="G99" s="6">
        <f t="shared" si="75"/>
        <v>4.1674322394290308E-3</v>
      </c>
      <c r="H99" s="2">
        <f t="shared" si="80"/>
        <v>-0.19830990290513262</v>
      </c>
      <c r="I99" s="2">
        <f t="shared" si="76"/>
        <v>1.1323080944932562</v>
      </c>
      <c r="J99" s="4">
        <f t="shared" si="81"/>
        <v>0.5</v>
      </c>
      <c r="K99" s="8">
        <f t="shared" si="82"/>
        <v>3.3238021300325844E-4</v>
      </c>
      <c r="L99" s="9">
        <f t="shared" si="83"/>
        <v>111466231171731.97</v>
      </c>
      <c r="M99" s="6">
        <f t="shared" si="77"/>
        <v>1397580082145777.5</v>
      </c>
      <c r="N99" s="2">
        <f t="shared" si="78"/>
        <v>9.0909090909090917</v>
      </c>
      <c r="O99" s="12">
        <v>1100</v>
      </c>
      <c r="P99" s="13"/>
      <c r="Q99" s="6">
        <f t="shared" si="79"/>
        <v>388684691854.49939</v>
      </c>
      <c r="R99" s="6"/>
      <c r="S99" s="6"/>
    </row>
    <row r="100" spans="4:19" ht="15.75">
      <c r="D100" s="2">
        <f t="shared" si="72"/>
        <v>0.84688047328625138</v>
      </c>
      <c r="E100" s="2">
        <f t="shared" si="73"/>
        <v>-7.2177880643627887E-2</v>
      </c>
      <c r="F100" s="2">
        <f t="shared" si="74"/>
        <v>-2.6857608687062231</v>
      </c>
      <c r="G100" s="6">
        <f t="shared" si="75"/>
        <v>3.2549853197043834E-3</v>
      </c>
      <c r="H100" s="2">
        <f t="shared" si="80"/>
        <v>-0.19830990290513262</v>
      </c>
      <c r="I100" s="2">
        <f t="shared" si="76"/>
        <v>1.1323080944932562</v>
      </c>
      <c r="J100" s="4">
        <f t="shared" si="81"/>
        <v>0.5</v>
      </c>
      <c r="K100" s="8">
        <f t="shared" si="82"/>
        <v>3.046818619196536E-4</v>
      </c>
      <c r="L100" s="9">
        <f t="shared" si="83"/>
        <v>115816459397390.31</v>
      </c>
      <c r="M100" s="6">
        <f t="shared" si="77"/>
        <v>1237293459950222.7</v>
      </c>
      <c r="N100" s="2">
        <f t="shared" si="78"/>
        <v>8.3333333333333339</v>
      </c>
      <c r="O100" s="12">
        <v>1200</v>
      </c>
      <c r="P100" s="13"/>
      <c r="Q100" s="6">
        <f t="shared" si="79"/>
        <v>318221934216.06146</v>
      </c>
      <c r="R100" s="6"/>
    </row>
    <row r="101" spans="4:19" ht="15.75">
      <c r="D101" s="2">
        <f t="shared" si="72"/>
        <v>0.85259151283092782</v>
      </c>
      <c r="E101" s="2">
        <f t="shared" si="73"/>
        <v>-6.9258994875657523E-2</v>
      </c>
      <c r="F101" s="2">
        <f t="shared" si="74"/>
        <v>-2.7844852504823847</v>
      </c>
      <c r="G101" s="6">
        <f t="shared" si="75"/>
        <v>2.5931321665699941E-3</v>
      </c>
      <c r="H101" s="2">
        <f t="shared" si="80"/>
        <v>-0.19830990290513262</v>
      </c>
      <c r="I101" s="2">
        <f t="shared" si="76"/>
        <v>1.1323080944932562</v>
      </c>
      <c r="J101" s="4">
        <f t="shared" si="81"/>
        <v>0.5</v>
      </c>
      <c r="K101" s="8">
        <f t="shared" si="82"/>
        <v>2.8124479561814178E-4</v>
      </c>
      <c r="L101" s="9">
        <f t="shared" si="83"/>
        <v>119968053059570.45</v>
      </c>
      <c r="M101" s="6">
        <f t="shared" si="77"/>
        <v>1106128974460854.9</v>
      </c>
      <c r="N101" s="2">
        <f t="shared" si="78"/>
        <v>7.6923076923076925</v>
      </c>
      <c r="O101" s="12">
        <v>1300</v>
      </c>
      <c r="P101" s="13"/>
      <c r="Q101" s="6">
        <f t="shared" si="79"/>
        <v>264549255110.12094</v>
      </c>
      <c r="R101" s="6"/>
    </row>
    <row r="102" spans="4:19" ht="15.75">
      <c r="D102" s="2">
        <f>10^E102</f>
        <v>0.86190491942356795</v>
      </c>
      <c r="E102" s="2">
        <f>LOG(J102)/(1+(F102/(I102-0.14*F102))^2)</f>
        <v>-6.4540640494547843E-2</v>
      </c>
      <c r="F102" s="2">
        <f>LOG(G102)+H102</f>
        <v>-2.9609853056491038</v>
      </c>
      <c r="G102" s="6">
        <f>M102*K102/L102</f>
        <v>1.7271282874954986E-3</v>
      </c>
      <c r="H102" s="2">
        <f>-0.4-0.67*LOG(J102)</f>
        <v>-0.19830990290513262</v>
      </c>
      <c r="I102" s="2">
        <f>0.75-1.27*LOG(J102)</f>
        <v>1.1323080944932562</v>
      </c>
      <c r="J102" s="4">
        <f t="shared" si="81"/>
        <v>0.5</v>
      </c>
      <c r="K102" s="8">
        <f t="shared" si="82"/>
        <v>2.4374548953572288E-4</v>
      </c>
      <c r="L102" s="9">
        <f t="shared" si="83"/>
        <v>127764644176961.8</v>
      </c>
      <c r="M102" s="6">
        <f>$B$7*O102^$B$8*EXP(-$B$9/1.987/O102)</f>
        <v>905312879923004.25</v>
      </c>
      <c r="N102" s="2">
        <f>10000/O102</f>
        <v>6.666666666666667</v>
      </c>
      <c r="O102" s="12">
        <v>1500</v>
      </c>
      <c r="P102" s="13"/>
      <c r="Q102" s="6">
        <f>L102/(1+L102/M102/K102)*D102</f>
        <v>189865130127.07217</v>
      </c>
      <c r="R102" s="6"/>
    </row>
    <row r="103" spans="4:19" ht="15.75">
      <c r="D103" s="2">
        <f>10^E103</f>
        <v>0.87232069242333976</v>
      </c>
      <c r="E103" s="2">
        <f>LOG(J103)/(1+(F103/(I103-0.14*F103))^2)</f>
        <v>-5.9323825450702548E-2</v>
      </c>
      <c r="F103" s="2">
        <f>LOG(G103)+H103</f>
        <v>-3.1858600444243579</v>
      </c>
      <c r="G103" s="6">
        <f>M103*K103/L103</f>
        <v>1.0290817075888001E-3</v>
      </c>
      <c r="H103" s="2">
        <f>-0.4-0.67*LOG(J103)</f>
        <v>-0.19830990290513262</v>
      </c>
      <c r="I103" s="2">
        <f>0.75-1.27*LOG(J103)</f>
        <v>1.1323080944932562</v>
      </c>
      <c r="J103" s="4">
        <f t="shared" si="81"/>
        <v>0.5</v>
      </c>
      <c r="K103" s="8">
        <f t="shared" si="82"/>
        <v>2.0312124127976907E-4</v>
      </c>
      <c r="L103" s="9">
        <f t="shared" si="83"/>
        <v>138436444942236.94</v>
      </c>
      <c r="M103" s="6">
        <f>$B$7*O103^$B$8*EXP(-$B$9/1.987/O103)</f>
        <v>701366397015364.12</v>
      </c>
      <c r="N103" s="2">
        <f>10000/O103</f>
        <v>5.5555555555555554</v>
      </c>
      <c r="O103" s="12">
        <v>1800</v>
      </c>
      <c r="P103" s="13"/>
      <c r="Q103" s="6">
        <f>L103/(1+L103/M103/K103)*D103</f>
        <v>124145155378.03281</v>
      </c>
      <c r="R103" s="6"/>
    </row>
    <row r="104" spans="4:19">
      <c r="D104" s="2" t="s">
        <v>4</v>
      </c>
      <c r="E104" s="2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s="2" t="s">
        <v>14</v>
      </c>
      <c r="P104">
        <v>76000</v>
      </c>
      <c r="Q104" s="6" t="s">
        <v>16</v>
      </c>
    </row>
    <row r="105" spans="4:19" ht="15.75">
      <c r="D105" s="2">
        <f t="shared" ref="D105:D115" si="84">10^E105</f>
        <v>0.54545292823685587</v>
      </c>
      <c r="E105" s="2">
        <f t="shared" ref="E105:E115" si="85">LOG(J105)/(1+(F105/(I105-0.14*F105))^2)</f>
        <v>-0.26324272241580765</v>
      </c>
      <c r="F105" s="2">
        <f t="shared" ref="F105:F115" si="86">LOG(G105)+H105</f>
        <v>-0.45303174805447283</v>
      </c>
      <c r="G105" s="6">
        <f t="shared" ref="G105:G115" si="87">M105*K105/L105</f>
        <v>0.5562604142104759</v>
      </c>
      <c r="H105" s="2">
        <f>-0.4-0.67*LOG(J105)</f>
        <v>-0.19830990290513262</v>
      </c>
      <c r="I105" s="2">
        <f t="shared" ref="I105:I115" si="88">0.75-1.27*LOG(J105)</f>
        <v>1.1323080944932562</v>
      </c>
      <c r="J105" s="4">
        <f>(1-$B$10)*EXP(-O105/$B$11)+$B$10*EXP(-O105/$B$12)+EXP(-B$13/O105)</f>
        <v>0.5</v>
      </c>
      <c r="K105" s="8">
        <f>$P$104*101325/760/8.314/O105/1000000</f>
        <v>4.0624248255953814E-3</v>
      </c>
      <c r="L105" s="9">
        <f>B$4*O105^B$5*EXP(-B$6/1.987/O105)</f>
        <v>62930892040738.875</v>
      </c>
      <c r="M105" s="6">
        <f t="shared" ref="M105:M115" si="89">$B$7*O105^$B$8*EXP(-$B$9/1.987/O105)</f>
        <v>8617012148178210</v>
      </c>
      <c r="N105" s="2">
        <f t="shared" ref="N105:N115" si="90">10000/O105</f>
        <v>33.333333333333336</v>
      </c>
      <c r="O105" s="12">
        <v>300</v>
      </c>
      <c r="P105" s="13"/>
      <c r="Q105" s="6">
        <f t="shared" ref="Q105:Q115" si="91">L105/(1+L105/M105/K105)*D105</f>
        <v>12269222705363.723</v>
      </c>
      <c r="R105" s="6"/>
      <c r="S105" s="6"/>
    </row>
    <row r="106" spans="4:19" ht="15.75">
      <c r="D106" s="2">
        <f t="shared" si="84"/>
        <v>0.61393468337171164</v>
      </c>
      <c r="E106" s="2">
        <f t="shared" si="85"/>
        <v>-0.21187783107406907</v>
      </c>
      <c r="F106" s="2">
        <f t="shared" si="86"/>
        <v>-0.80785776002204424</v>
      </c>
      <c r="G106" s="6">
        <f t="shared" si="87"/>
        <v>0.24572658376798823</v>
      </c>
      <c r="H106" s="2">
        <f t="shared" ref="H106:H115" si="92">-0.4-0.67*LOG(J106)</f>
        <v>-0.19830990290513262</v>
      </c>
      <c r="I106" s="2">
        <f t="shared" si="88"/>
        <v>1.1323080944932562</v>
      </c>
      <c r="J106" s="4">
        <f t="shared" ref="J106:J117" si="93">(1-$B$10)*EXP(-O106/$B$11)+$B$10*EXP(-O106/$B$12)+EXP(-B$13/O106)</f>
        <v>0.5</v>
      </c>
      <c r="K106" s="8">
        <f t="shared" ref="K106:K117" si="94">$P$104*101325/760/8.314/O106/1000000</f>
        <v>3.0468186191965358E-3</v>
      </c>
      <c r="L106" s="9">
        <f t="shared" ref="L106:L117" si="95">B$4*O106^B$5*EXP(-B$6/1.987/O106)</f>
        <v>71422809880754.094</v>
      </c>
      <c r="M106" s="6">
        <f t="shared" si="89"/>
        <v>5760265138374527</v>
      </c>
      <c r="N106" s="2">
        <f t="shared" si="90"/>
        <v>25</v>
      </c>
      <c r="O106" s="12">
        <v>400</v>
      </c>
      <c r="P106" s="13"/>
      <c r="Q106" s="6">
        <f t="shared" si="91"/>
        <v>8649450377101.3066</v>
      </c>
      <c r="R106" s="6"/>
      <c r="S106" s="6"/>
    </row>
    <row r="107" spans="4:19" ht="15.75">
      <c r="D107" s="2">
        <f t="shared" si="84"/>
        <v>0.66699602130368107</v>
      </c>
      <c r="E107" s="2">
        <f t="shared" si="85"/>
        <v>-0.1758767566846656</v>
      </c>
      <c r="F107" s="2">
        <f t="shared" si="86"/>
        <v>-1.0830821969649245</v>
      </c>
      <c r="G107" s="6">
        <f t="shared" si="87"/>
        <v>0.13038502239815594</v>
      </c>
      <c r="H107" s="2">
        <f t="shared" si="92"/>
        <v>-0.19830990290513262</v>
      </c>
      <c r="I107" s="2">
        <f t="shared" si="88"/>
        <v>1.1323080944932562</v>
      </c>
      <c r="J107" s="4">
        <f t="shared" si="93"/>
        <v>0.5</v>
      </c>
      <c r="K107" s="8">
        <f t="shared" si="94"/>
        <v>2.4374548953572288E-3</v>
      </c>
      <c r="L107" s="9">
        <f t="shared" si="95"/>
        <v>78791131571571.406</v>
      </c>
      <c r="M107" s="6">
        <f t="shared" si="89"/>
        <v>4214717357151247.5</v>
      </c>
      <c r="N107" s="2">
        <f t="shared" si="90"/>
        <v>20</v>
      </c>
      <c r="O107" s="12">
        <v>500</v>
      </c>
      <c r="P107" s="13"/>
      <c r="Q107" s="6">
        <f t="shared" si="91"/>
        <v>6061804035490.6318</v>
      </c>
      <c r="R107" s="6"/>
      <c r="S107" s="6"/>
    </row>
    <row r="108" spans="4:19" ht="15.75">
      <c r="D108" s="2">
        <f t="shared" si="84"/>
        <v>0.70571344782628254</v>
      </c>
      <c r="E108" s="2">
        <f t="shared" si="85"/>
        <v>-0.15137160672471234</v>
      </c>
      <c r="F108" s="2">
        <f t="shared" si="86"/>
        <v>-1.307956935740179</v>
      </c>
      <c r="G108" s="6">
        <f t="shared" si="87"/>
        <v>7.7687825777011318E-2</v>
      </c>
      <c r="H108" s="2">
        <f t="shared" si="92"/>
        <v>-0.19830990290513262</v>
      </c>
      <c r="I108" s="2">
        <f t="shared" si="88"/>
        <v>1.1323080944932562</v>
      </c>
      <c r="J108" s="4">
        <f t="shared" si="93"/>
        <v>0.5</v>
      </c>
      <c r="K108" s="8">
        <f t="shared" si="94"/>
        <v>2.0312124127976907E-3</v>
      </c>
      <c r="L108" s="9">
        <f t="shared" si="95"/>
        <v>85372320472608.625</v>
      </c>
      <c r="M108" s="6">
        <f t="shared" si="89"/>
        <v>3265237016703768.5</v>
      </c>
      <c r="N108" s="2">
        <f t="shared" si="90"/>
        <v>16.666666666666668</v>
      </c>
      <c r="O108" s="12">
        <v>600</v>
      </c>
      <c r="P108" s="13"/>
      <c r="Q108" s="6">
        <f t="shared" si="91"/>
        <v>4343156407059.3237</v>
      </c>
      <c r="R108" s="6"/>
      <c r="S108" s="6"/>
    </row>
    <row r="109" spans="4:19" ht="15.75">
      <c r="D109" s="2">
        <f t="shared" si="84"/>
        <v>0.73447122475487081</v>
      </c>
      <c r="E109" s="2">
        <f t="shared" si="85"/>
        <v>-0.13402521440738746</v>
      </c>
      <c r="F109" s="2">
        <f t="shared" si="86"/>
        <v>-1.4980858182911203</v>
      </c>
      <c r="G109" s="6">
        <f t="shared" si="87"/>
        <v>5.0144589988150259E-2</v>
      </c>
      <c r="H109" s="2">
        <f t="shared" si="92"/>
        <v>-0.19830990290513262</v>
      </c>
      <c r="I109" s="2">
        <f t="shared" si="88"/>
        <v>1.1323080944932562</v>
      </c>
      <c r="J109" s="4">
        <f t="shared" si="93"/>
        <v>0.5</v>
      </c>
      <c r="K109" s="8">
        <f t="shared" si="94"/>
        <v>1.7410392109694492E-3</v>
      </c>
      <c r="L109" s="9">
        <f t="shared" si="95"/>
        <v>91363698805302.516</v>
      </c>
      <c r="M109" s="6">
        <f t="shared" si="89"/>
        <v>2631414150541575.5</v>
      </c>
      <c r="N109" s="2">
        <f t="shared" si="90"/>
        <v>14.285714285714286</v>
      </c>
      <c r="O109" s="12">
        <v>700</v>
      </c>
      <c r="P109" s="13"/>
      <c r="Q109" s="6">
        <f t="shared" si="91"/>
        <v>3204228244139.2729</v>
      </c>
      <c r="R109" s="6"/>
      <c r="S109" s="6"/>
    </row>
    <row r="110" spans="4:19" ht="15.75">
      <c r="D110" s="2">
        <f t="shared" si="84"/>
        <v>0.75647983394457075</v>
      </c>
      <c r="E110" s="2">
        <f t="shared" si="85"/>
        <v>-0.12120264480315801</v>
      </c>
      <c r="F110" s="2">
        <f t="shared" si="86"/>
        <v>-1.6627829477077509</v>
      </c>
      <c r="G110" s="6">
        <f t="shared" si="87"/>
        <v>3.4318393940799899E-2</v>
      </c>
      <c r="H110" s="2">
        <f t="shared" si="92"/>
        <v>-0.19830990290513262</v>
      </c>
      <c r="I110" s="2">
        <f t="shared" si="88"/>
        <v>1.1323080944932562</v>
      </c>
      <c r="J110" s="4">
        <f t="shared" si="93"/>
        <v>0.5</v>
      </c>
      <c r="K110" s="8">
        <f t="shared" si="94"/>
        <v>1.5234093095982679E-3</v>
      </c>
      <c r="L110" s="9">
        <f t="shared" si="95"/>
        <v>96892492962703.328</v>
      </c>
      <c r="M110" s="6">
        <f t="shared" si="89"/>
        <v>2182732324431645</v>
      </c>
      <c r="N110" s="2">
        <f t="shared" si="90"/>
        <v>12.5</v>
      </c>
      <c r="O110" s="12">
        <v>800</v>
      </c>
      <c r="P110" s="13"/>
      <c r="Q110" s="6">
        <f t="shared" si="91"/>
        <v>2431981082475.7915</v>
      </c>
      <c r="R110" s="6"/>
      <c r="S110" s="6"/>
    </row>
    <row r="111" spans="4:19" ht="15.75">
      <c r="D111" s="2">
        <f t="shared" si="84"/>
        <v>0.77381476060041943</v>
      </c>
      <c r="E111" s="2">
        <f t="shared" si="85"/>
        <v>-0.11136299032145341</v>
      </c>
      <c r="F111" s="2">
        <f t="shared" si="86"/>
        <v>-1.8080561114583142</v>
      </c>
      <c r="G111" s="6">
        <f t="shared" si="87"/>
        <v>2.4561438088675853E-2</v>
      </c>
      <c r="H111" s="2">
        <f t="shared" si="92"/>
        <v>-0.19830990290513262</v>
      </c>
      <c r="I111" s="2">
        <f t="shared" si="88"/>
        <v>1.1323080944932562</v>
      </c>
      <c r="J111" s="4">
        <f t="shared" si="93"/>
        <v>0.5</v>
      </c>
      <c r="K111" s="8">
        <f t="shared" si="94"/>
        <v>1.3541416085317936E-3</v>
      </c>
      <c r="L111" s="9">
        <f t="shared" si="95"/>
        <v>102046294664777.16</v>
      </c>
      <c r="M111" s="6">
        <f t="shared" si="89"/>
        <v>1850917018424111</v>
      </c>
      <c r="N111" s="2">
        <f t="shared" si="90"/>
        <v>11.111111111111111</v>
      </c>
      <c r="O111" s="12">
        <v>900</v>
      </c>
      <c r="P111" s="13"/>
      <c r="Q111" s="6">
        <f t="shared" si="91"/>
        <v>1892997476363.6575</v>
      </c>
      <c r="R111" s="6"/>
      <c r="S111" s="6"/>
    </row>
    <row r="112" spans="4:19" ht="15.75">
      <c r="D112" s="2">
        <f t="shared" si="84"/>
        <v>0.78781436144379846</v>
      </c>
      <c r="E112" s="2">
        <f t="shared" si="85"/>
        <v>-0.103576106493437</v>
      </c>
      <c r="F112" s="2">
        <f t="shared" si="86"/>
        <v>-1.9380073846506312</v>
      </c>
      <c r="G112" s="6">
        <f t="shared" si="87"/>
        <v>1.8209688565339742E-2</v>
      </c>
      <c r="H112" s="2">
        <f t="shared" si="92"/>
        <v>-0.19830990290513262</v>
      </c>
      <c r="I112" s="2">
        <f t="shared" si="88"/>
        <v>1.1323080944932562</v>
      </c>
      <c r="J112" s="4">
        <f t="shared" si="93"/>
        <v>0.5</v>
      </c>
      <c r="K112" s="8">
        <f t="shared" si="94"/>
        <v>1.2187274476786144E-3</v>
      </c>
      <c r="L112" s="9">
        <f t="shared" si="95"/>
        <v>106888390054492.66</v>
      </c>
      <c r="M112" s="6">
        <f t="shared" si="89"/>
        <v>1597079230348266.7</v>
      </c>
      <c r="N112" s="2">
        <f t="shared" si="90"/>
        <v>10</v>
      </c>
      <c r="O112" s="12">
        <v>1000</v>
      </c>
      <c r="P112" s="13"/>
      <c r="Q112" s="6">
        <f t="shared" si="91"/>
        <v>1505981796600.4663</v>
      </c>
      <c r="R112" s="6"/>
      <c r="S112" s="6"/>
    </row>
    <row r="113" spans="4:19" ht="15.75">
      <c r="D113" s="2">
        <f t="shared" si="84"/>
        <v>0.79936271115032109</v>
      </c>
      <c r="E113" s="2">
        <f t="shared" si="85"/>
        <v>-9.7256114669064822E-2</v>
      </c>
      <c r="F113" s="2">
        <f t="shared" si="86"/>
        <v>-2.0555626104999902</v>
      </c>
      <c r="G113" s="6">
        <f t="shared" si="87"/>
        <v>1.3891440798096769E-2</v>
      </c>
      <c r="H113" s="2">
        <f t="shared" si="92"/>
        <v>-0.19830990290513262</v>
      </c>
      <c r="I113" s="2">
        <f t="shared" si="88"/>
        <v>1.1323080944932562</v>
      </c>
      <c r="J113" s="4">
        <f t="shared" si="93"/>
        <v>0.5</v>
      </c>
      <c r="K113" s="8">
        <f t="shared" si="94"/>
        <v>1.1079340433441949E-3</v>
      </c>
      <c r="L113" s="9">
        <f t="shared" si="95"/>
        <v>111466231171731.97</v>
      </c>
      <c r="M113" s="6">
        <f t="shared" si="89"/>
        <v>1397580082145777.5</v>
      </c>
      <c r="N113" s="2">
        <f t="shared" si="90"/>
        <v>9.0909090909090917</v>
      </c>
      <c r="O113" s="12">
        <v>1100</v>
      </c>
      <c r="P113" s="13"/>
      <c r="Q113" s="6">
        <f t="shared" si="91"/>
        <v>1220795833030.4648</v>
      </c>
      <c r="R113" s="6"/>
      <c r="S113" s="6"/>
    </row>
    <row r="114" spans="4:19" ht="15.75">
      <c r="D114" s="2">
        <f t="shared" si="84"/>
        <v>0.80906125167181997</v>
      </c>
      <c r="E114" s="2">
        <f t="shared" si="85"/>
        <v>-9.2018597972274963E-2</v>
      </c>
      <c r="F114" s="2">
        <f t="shared" si="86"/>
        <v>-2.1628821234258857</v>
      </c>
      <c r="G114" s="6">
        <f t="shared" si="87"/>
        <v>1.0849951065681278E-2</v>
      </c>
      <c r="H114" s="2">
        <f t="shared" si="92"/>
        <v>-0.19830990290513262</v>
      </c>
      <c r="I114" s="2">
        <f t="shared" si="88"/>
        <v>1.1323080944932562</v>
      </c>
      <c r="J114" s="4">
        <f t="shared" si="93"/>
        <v>0.5</v>
      </c>
      <c r="K114" s="8">
        <f t="shared" si="94"/>
        <v>1.0156062063988453E-3</v>
      </c>
      <c r="L114" s="9">
        <f t="shared" si="95"/>
        <v>115816459397390.31</v>
      </c>
      <c r="M114" s="6">
        <f t="shared" si="89"/>
        <v>1237293459950222.7</v>
      </c>
      <c r="N114" s="2">
        <f t="shared" si="90"/>
        <v>8.3333333333333339</v>
      </c>
      <c r="O114" s="12">
        <v>1200</v>
      </c>
      <c r="P114" s="13"/>
      <c r="Q114" s="6">
        <f t="shared" si="91"/>
        <v>1005756322054.4707</v>
      </c>
      <c r="R114" s="6"/>
      <c r="S114" s="6"/>
    </row>
    <row r="115" spans="4:19" ht="15.75">
      <c r="D115" s="2">
        <f t="shared" si="84"/>
        <v>0.81733108477914385</v>
      </c>
      <c r="E115" s="2">
        <f t="shared" si="85"/>
        <v>-8.7601983656343765E-2</v>
      </c>
      <c r="F115" s="2">
        <f t="shared" si="86"/>
        <v>-2.2616065052020473</v>
      </c>
      <c r="G115" s="6">
        <f t="shared" si="87"/>
        <v>8.643773888566646E-3</v>
      </c>
      <c r="H115" s="2">
        <f t="shared" si="92"/>
        <v>-0.19830990290513262</v>
      </c>
      <c r="I115" s="2">
        <f t="shared" si="88"/>
        <v>1.1323080944932562</v>
      </c>
      <c r="J115" s="4">
        <f t="shared" si="93"/>
        <v>0.5</v>
      </c>
      <c r="K115" s="8">
        <f t="shared" si="94"/>
        <v>9.3748265206047268E-4</v>
      </c>
      <c r="L115" s="9">
        <f t="shared" si="95"/>
        <v>119968053059570.45</v>
      </c>
      <c r="M115" s="6">
        <f t="shared" si="89"/>
        <v>1106128974460854.9</v>
      </c>
      <c r="N115" s="2">
        <f t="shared" si="90"/>
        <v>7.6923076923076925</v>
      </c>
      <c r="O115" s="12">
        <v>1300</v>
      </c>
      <c r="P115" s="13"/>
      <c r="Q115" s="6">
        <f t="shared" si="91"/>
        <v>840290034069.76172</v>
      </c>
      <c r="R115" s="6"/>
      <c r="S115" s="6"/>
    </row>
    <row r="116" spans="4:19" ht="15.75">
      <c r="D116" s="2">
        <f>10^E116</f>
        <v>0.83071552783369629</v>
      </c>
      <c r="E116" s="2">
        <f>LOG(J116)/(1+(F116/(I116-0.14*F116))^2)</f>
        <v>-8.0547671574653187E-2</v>
      </c>
      <c r="F116" s="2">
        <f>LOG(G116)+H116</f>
        <v>-2.4381065603687659</v>
      </c>
      <c r="G116" s="6">
        <f>M116*K116/L116</f>
        <v>5.7570942916516628E-3</v>
      </c>
      <c r="H116" s="2">
        <f>-0.4-0.67*LOG(J116)</f>
        <v>-0.19830990290513262</v>
      </c>
      <c r="I116" s="2">
        <f>0.75-1.27*LOG(J116)</f>
        <v>1.1323080944932562</v>
      </c>
      <c r="J116" s="4">
        <f t="shared" si="93"/>
        <v>0.5</v>
      </c>
      <c r="K116" s="8">
        <f t="shared" si="94"/>
        <v>8.1248496511907627E-4</v>
      </c>
      <c r="L116" s="9">
        <f t="shared" si="95"/>
        <v>127764644176961.8</v>
      </c>
      <c r="M116" s="6">
        <f>$B$7*O116^$B$8*EXP(-$B$9/1.987/O116)</f>
        <v>905312879923004.25</v>
      </c>
      <c r="N116" s="2">
        <f>10000/O116</f>
        <v>6.666666666666667</v>
      </c>
      <c r="O116" s="12">
        <v>1500</v>
      </c>
      <c r="P116" s="13"/>
      <c r="Q116" s="6">
        <f>L116/(1+L116/M116/K116)*D116</f>
        <v>607537732748.52209</v>
      </c>
      <c r="R116" s="6"/>
      <c r="S116" s="6"/>
    </row>
    <row r="117" spans="4:19" ht="15.75">
      <c r="D117" s="2">
        <f>10^E117</f>
        <v>0.84550716704360851</v>
      </c>
      <c r="E117" s="2">
        <f>LOG(J117)/(1+(F117/(I117-0.14*F117))^2)</f>
        <v>-7.2882706701013586E-2</v>
      </c>
      <c r="F117" s="2">
        <f>LOG(G117)+H117</f>
        <v>-2.6629812991440205</v>
      </c>
      <c r="G117" s="6">
        <f>M117*K117/L117</f>
        <v>3.4302723586293331E-3</v>
      </c>
      <c r="H117" s="2">
        <f>-0.4-0.67*LOG(J117)</f>
        <v>-0.19830990290513262</v>
      </c>
      <c r="I117" s="2">
        <f>0.75-1.27*LOG(J117)</f>
        <v>1.1323080944932562</v>
      </c>
      <c r="J117" s="4">
        <f t="shared" si="93"/>
        <v>0.5</v>
      </c>
      <c r="K117" s="8">
        <f t="shared" si="94"/>
        <v>6.7707080426589682E-4</v>
      </c>
      <c r="L117" s="9">
        <f t="shared" si="95"/>
        <v>138436444942236.94</v>
      </c>
      <c r="M117" s="6">
        <f>$B$7*O117^$B$8*EXP(-$B$9/1.987/O117)</f>
        <v>701366397015364.12</v>
      </c>
      <c r="N117" s="2">
        <f>10000/O117</f>
        <v>5.5555555555555554</v>
      </c>
      <c r="O117" s="12">
        <v>1800</v>
      </c>
      <c r="P117" s="13"/>
      <c r="Q117" s="6">
        <f>L117/(1+L117/M117/K117)*D117</f>
        <v>400137390954.03674</v>
      </c>
      <c r="R117" s="6"/>
      <c r="S117" s="6"/>
    </row>
    <row r="118" spans="4:19">
      <c r="D118" s="2" t="s">
        <v>4</v>
      </c>
      <c r="E118" s="2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P118">
        <v>380000</v>
      </c>
      <c r="Q118" t="s">
        <v>16</v>
      </c>
    </row>
    <row r="119" spans="4:19" ht="15.75">
      <c r="D119" s="2">
        <f t="shared" ref="D119:D131" si="96">10^E119</f>
        <v>0.51683790582412203</v>
      </c>
      <c r="E119" s="2">
        <f t="shared" ref="E119:E129" si="97">LOG(J119)/(1+(F119/(I119-0.14*F119))^2)</f>
        <v>-0.2866456419043299</v>
      </c>
      <c r="F119" s="2">
        <f t="shared" ref="F119:F129" si="98">LOG(G119)+H119</f>
        <v>0.24593825628154597</v>
      </c>
      <c r="G119" s="6">
        <f t="shared" ref="G119:G129" si="99">M119*K119/L119</f>
        <v>2.7813020710523793</v>
      </c>
      <c r="H119" s="2">
        <f>-0.4-0.67*LOG(J119)</f>
        <v>-0.19830990290513262</v>
      </c>
      <c r="I119" s="2">
        <f t="shared" ref="I119:I129" si="100">0.75-1.27*LOG(J119)</f>
        <v>1.1323080944932562</v>
      </c>
      <c r="J119" s="4">
        <f>(1-$B$10)*EXP(-O119/$B$11)+$B$10*EXP(-O119/$B$12)+EXP(-B$13/O119)</f>
        <v>0.5</v>
      </c>
      <c r="K119" s="8">
        <f>$P$118*101325/760/8.314/O119/1000000</f>
        <v>2.0312124127976904E-2</v>
      </c>
      <c r="L119" s="9">
        <f>B$4*O119^B$5*EXP(-B$6/1.987/O119)</f>
        <v>62930892040738.875</v>
      </c>
      <c r="M119" s="6">
        <f t="shared" ref="M119:M129" si="101">$B$7*O119^$B$8*EXP(-$B$9/1.987/O119)</f>
        <v>8617012148178210</v>
      </c>
      <c r="N119" s="2">
        <f t="shared" ref="N119:N129" si="102">10000/O119</f>
        <v>33.333333333333336</v>
      </c>
      <c r="O119" s="12">
        <v>300</v>
      </c>
      <c r="P119" s="13"/>
      <c r="Q119" s="6">
        <f t="shared" ref="Q119:Q129" si="103">L119/(1+L119/M119/K119)*D119</f>
        <v>23923517379715.926</v>
      </c>
      <c r="R119" s="6"/>
      <c r="S119" s="6"/>
    </row>
    <row r="120" spans="4:19" ht="15.75">
      <c r="D120" s="2">
        <f t="shared" si="96"/>
        <v>0.50310212719721226</v>
      </c>
      <c r="E120" s="2">
        <f t="shared" si="97"/>
        <v>-0.29834384640301714</v>
      </c>
      <c r="F120" s="2">
        <f t="shared" si="98"/>
        <v>-0.10888775568602536</v>
      </c>
      <c r="G120" s="6">
        <f t="shared" si="99"/>
        <v>1.2286329188399414</v>
      </c>
      <c r="H120" s="2">
        <f t="shared" ref="H120:H129" si="104">-0.4-0.67*LOG(J120)</f>
        <v>-0.19830990290513262</v>
      </c>
      <c r="I120" s="2">
        <f t="shared" si="100"/>
        <v>1.1323080944932562</v>
      </c>
      <c r="J120" s="4">
        <f t="shared" ref="J120:J131" si="105">(1-$B$10)*EXP(-O120/$B$11)+$B$10*EXP(-O120/$B$12)+EXP(-B$13/O120)</f>
        <v>0.5</v>
      </c>
      <c r="K120" s="8">
        <f t="shared" ref="K120:K131" si="106">$P$118*101325/760/8.314/O120/1000000</f>
        <v>1.5234093095982681E-2</v>
      </c>
      <c r="L120" s="9">
        <f t="shared" ref="L120:L131" si="107">B$4*O120^B$5*EXP(-B$6/1.987/O120)</f>
        <v>71422809880754.094</v>
      </c>
      <c r="M120" s="6">
        <f t="shared" si="101"/>
        <v>5760265138374527</v>
      </c>
      <c r="N120" s="2">
        <f t="shared" si="102"/>
        <v>25</v>
      </c>
      <c r="O120" s="12">
        <v>400</v>
      </c>
      <c r="P120" s="13"/>
      <c r="Q120" s="6">
        <f t="shared" si="103"/>
        <v>19809644948217.152</v>
      </c>
      <c r="R120" s="6"/>
      <c r="S120" s="6"/>
    </row>
    <row r="121" spans="4:19" ht="15.75">
      <c r="D121" s="2">
        <f t="shared" si="96"/>
        <v>0.53400416630564362</v>
      </c>
      <c r="E121" s="2">
        <f t="shared" si="97"/>
        <v>-0.2724553545884989</v>
      </c>
      <c r="F121" s="2">
        <f t="shared" si="98"/>
        <v>-0.38411219262890584</v>
      </c>
      <c r="G121" s="6">
        <f t="shared" si="99"/>
        <v>0.65192511199077963</v>
      </c>
      <c r="H121" s="2">
        <f t="shared" si="104"/>
        <v>-0.19830990290513262</v>
      </c>
      <c r="I121" s="2">
        <f t="shared" si="100"/>
        <v>1.1323080944932562</v>
      </c>
      <c r="J121" s="4">
        <f t="shared" si="105"/>
        <v>0.5</v>
      </c>
      <c r="K121" s="8">
        <f t="shared" si="106"/>
        <v>1.2187274476786143E-2</v>
      </c>
      <c r="L121" s="9">
        <f t="shared" si="107"/>
        <v>78791131571571.406</v>
      </c>
      <c r="M121" s="6">
        <f t="shared" si="101"/>
        <v>4214717357151247.5</v>
      </c>
      <c r="N121" s="2">
        <f t="shared" si="102"/>
        <v>20</v>
      </c>
      <c r="O121" s="12">
        <v>500</v>
      </c>
      <c r="P121" s="13"/>
      <c r="Q121" s="6">
        <f t="shared" si="103"/>
        <v>16604635180585.365</v>
      </c>
      <c r="R121" s="6"/>
      <c r="S121" s="6"/>
    </row>
    <row r="122" spans="4:19" ht="15.75">
      <c r="D122" s="2">
        <f t="shared" si="96"/>
        <v>0.57439182773513775</v>
      </c>
      <c r="E122" s="2">
        <f t="shared" si="97"/>
        <v>-0.2407917477260319</v>
      </c>
      <c r="F122" s="2">
        <f t="shared" si="98"/>
        <v>-0.60898693140416049</v>
      </c>
      <c r="G122" s="6">
        <f t="shared" si="99"/>
        <v>0.38843912888505655</v>
      </c>
      <c r="H122" s="2">
        <f t="shared" si="104"/>
        <v>-0.19830990290513262</v>
      </c>
      <c r="I122" s="2">
        <f t="shared" si="100"/>
        <v>1.1323080944932562</v>
      </c>
      <c r="J122" s="4">
        <f t="shared" si="105"/>
        <v>0.5</v>
      </c>
      <c r="K122" s="8">
        <f t="shared" si="106"/>
        <v>1.0156062063988452E-2</v>
      </c>
      <c r="L122" s="9">
        <f t="shared" si="107"/>
        <v>85372320472608.625</v>
      </c>
      <c r="M122" s="6">
        <f t="shared" si="101"/>
        <v>3265237016703768.5</v>
      </c>
      <c r="N122" s="2">
        <f t="shared" si="102"/>
        <v>16.666666666666668</v>
      </c>
      <c r="O122" s="12">
        <v>600</v>
      </c>
      <c r="P122" s="13"/>
      <c r="Q122" s="6">
        <f t="shared" si="103"/>
        <v>13718968702261.596</v>
      </c>
      <c r="R122" s="6"/>
      <c r="S122" s="6"/>
    </row>
    <row r="123" spans="4:19" ht="15.75">
      <c r="D123" s="2">
        <f t="shared" si="96"/>
        <v>0.61218848065877429</v>
      </c>
      <c r="E123" s="2">
        <f t="shared" si="97"/>
        <v>-0.21311484663250488</v>
      </c>
      <c r="F123" s="2">
        <f t="shared" si="98"/>
        <v>-0.79911581395510156</v>
      </c>
      <c r="G123" s="6">
        <f t="shared" si="99"/>
        <v>0.25072294994075128</v>
      </c>
      <c r="H123" s="2">
        <f t="shared" si="104"/>
        <v>-0.19830990290513262</v>
      </c>
      <c r="I123" s="2">
        <f t="shared" si="100"/>
        <v>1.1323080944932562</v>
      </c>
      <c r="J123" s="4">
        <f t="shared" si="105"/>
        <v>0.5</v>
      </c>
      <c r="K123" s="8">
        <f t="shared" si="106"/>
        <v>8.7051960548472449E-3</v>
      </c>
      <c r="L123" s="9">
        <f t="shared" si="107"/>
        <v>91363698805302.516</v>
      </c>
      <c r="M123" s="6">
        <f t="shared" si="101"/>
        <v>2631414150541575.5</v>
      </c>
      <c r="N123" s="2">
        <f t="shared" si="102"/>
        <v>14.285714285714286</v>
      </c>
      <c r="O123" s="12">
        <v>700</v>
      </c>
      <c r="P123" s="13"/>
      <c r="Q123" s="6">
        <f t="shared" si="103"/>
        <v>11212224805476.361</v>
      </c>
      <c r="R123" s="6"/>
      <c r="S123" s="6"/>
    </row>
    <row r="124" spans="4:19" ht="15.75">
      <c r="D124" s="2">
        <f t="shared" si="96"/>
        <v>0.64459613404380045</v>
      </c>
      <c r="E124" s="2">
        <f t="shared" si="97"/>
        <v>-0.19071230349088805</v>
      </c>
      <c r="F124" s="2">
        <f t="shared" si="98"/>
        <v>-0.96381294337173207</v>
      </c>
      <c r="G124" s="6">
        <f t="shared" si="99"/>
        <v>0.17159196970399951</v>
      </c>
      <c r="H124" s="2">
        <f t="shared" si="104"/>
        <v>-0.19830990290513262</v>
      </c>
      <c r="I124" s="2">
        <f t="shared" si="100"/>
        <v>1.1323080944932562</v>
      </c>
      <c r="J124" s="4">
        <f t="shared" si="105"/>
        <v>0.5</v>
      </c>
      <c r="K124" s="8">
        <f t="shared" si="106"/>
        <v>7.6170465479913404E-3</v>
      </c>
      <c r="L124" s="9">
        <f t="shared" si="107"/>
        <v>96892492962703.328</v>
      </c>
      <c r="M124" s="6">
        <f t="shared" si="101"/>
        <v>2182732324431645</v>
      </c>
      <c r="N124" s="2">
        <f t="shared" si="102"/>
        <v>12.5</v>
      </c>
      <c r="O124" s="12">
        <v>800</v>
      </c>
      <c r="P124" s="13"/>
      <c r="Q124" s="6">
        <f t="shared" si="103"/>
        <v>9147415362876.2344</v>
      </c>
      <c r="R124" s="6"/>
      <c r="S124" s="6"/>
    </row>
    <row r="125" spans="4:19" ht="15.75">
      <c r="D125" s="2">
        <f t="shared" si="96"/>
        <v>0.67172137623836858</v>
      </c>
      <c r="E125" s="2">
        <f t="shared" si="97"/>
        <v>-0.1728108308964097</v>
      </c>
      <c r="F125" s="2">
        <f t="shared" si="98"/>
        <v>-1.1090861071222953</v>
      </c>
      <c r="G125" s="6">
        <f t="shared" si="99"/>
        <v>0.12280719044337929</v>
      </c>
      <c r="H125" s="2">
        <f t="shared" si="104"/>
        <v>-0.19830990290513262</v>
      </c>
      <c r="I125" s="2">
        <f t="shared" si="100"/>
        <v>1.1323080944932562</v>
      </c>
      <c r="J125" s="4">
        <f t="shared" si="105"/>
        <v>0.5</v>
      </c>
      <c r="K125" s="8">
        <f t="shared" si="106"/>
        <v>6.7707080426589695E-3</v>
      </c>
      <c r="L125" s="9">
        <f t="shared" si="107"/>
        <v>102046294664777.16</v>
      </c>
      <c r="M125" s="6">
        <f t="shared" si="101"/>
        <v>1850917018424111</v>
      </c>
      <c r="N125" s="2">
        <f t="shared" si="102"/>
        <v>11.111111111111111</v>
      </c>
      <c r="O125" s="12">
        <v>900</v>
      </c>
      <c r="P125" s="13"/>
      <c r="Q125" s="6">
        <f t="shared" si="103"/>
        <v>7497302251624.8086</v>
      </c>
      <c r="R125" s="6"/>
      <c r="S125" s="6"/>
    </row>
    <row r="126" spans="4:19" ht="15.75">
      <c r="D126" s="2">
        <f t="shared" si="96"/>
        <v>0.6943782652478887</v>
      </c>
      <c r="E126" s="2">
        <f t="shared" si="97"/>
        <v>-0.15840388148167331</v>
      </c>
      <c r="F126" s="2">
        <f t="shared" si="98"/>
        <v>-1.2390373803146124</v>
      </c>
      <c r="G126" s="6">
        <f t="shared" si="99"/>
        <v>9.1048442826698689E-2</v>
      </c>
      <c r="H126" s="2">
        <f t="shared" si="104"/>
        <v>-0.19830990290513262</v>
      </c>
      <c r="I126" s="2">
        <f t="shared" si="100"/>
        <v>1.1323080944932562</v>
      </c>
      <c r="J126" s="4">
        <f t="shared" si="105"/>
        <v>0.5</v>
      </c>
      <c r="K126" s="8">
        <f t="shared" si="106"/>
        <v>6.0936372383930716E-3</v>
      </c>
      <c r="L126" s="9">
        <f t="shared" si="107"/>
        <v>106888390054492.66</v>
      </c>
      <c r="M126" s="6">
        <f t="shared" si="101"/>
        <v>1597079230348266.7</v>
      </c>
      <c r="N126" s="2">
        <f t="shared" si="102"/>
        <v>10</v>
      </c>
      <c r="O126" s="12">
        <v>1000</v>
      </c>
      <c r="P126" s="13"/>
      <c r="Q126" s="6">
        <f t="shared" si="103"/>
        <v>6193770982965.6221</v>
      </c>
      <c r="R126" s="6"/>
      <c r="S126" s="6"/>
    </row>
    <row r="127" spans="4:19" ht="15.75">
      <c r="D127" s="2">
        <f t="shared" si="96"/>
        <v>0.71342070555072756</v>
      </c>
      <c r="E127" s="2">
        <f t="shared" si="97"/>
        <v>-0.14665429032156019</v>
      </c>
      <c r="F127" s="2">
        <f t="shared" si="98"/>
        <v>-1.3565926061639715</v>
      </c>
      <c r="G127" s="6">
        <f t="shared" si="99"/>
        <v>6.9457203990483857E-2</v>
      </c>
      <c r="H127" s="2">
        <f t="shared" si="104"/>
        <v>-0.19830990290513262</v>
      </c>
      <c r="I127" s="2">
        <f t="shared" si="100"/>
        <v>1.1323080944932562</v>
      </c>
      <c r="J127" s="4">
        <f t="shared" si="105"/>
        <v>0.5</v>
      </c>
      <c r="K127" s="8">
        <f t="shared" si="106"/>
        <v>5.5396702167209745E-3</v>
      </c>
      <c r="L127" s="9">
        <f t="shared" si="107"/>
        <v>111466231171731.97</v>
      </c>
      <c r="M127" s="6">
        <f t="shared" si="101"/>
        <v>1397580082145777.5</v>
      </c>
      <c r="N127" s="2">
        <f t="shared" si="102"/>
        <v>9.0909090909090917</v>
      </c>
      <c r="O127" s="12">
        <v>1100</v>
      </c>
      <c r="P127" s="13"/>
      <c r="Q127" s="6">
        <f t="shared" si="103"/>
        <v>5164673998204.3994</v>
      </c>
      <c r="R127" s="6"/>
      <c r="S127" s="6"/>
    </row>
    <row r="128" spans="4:19" ht="15.75">
      <c r="D128" s="2">
        <f t="shared" si="96"/>
        <v>0.72957251777238452</v>
      </c>
      <c r="E128" s="2">
        <f t="shared" si="97"/>
        <v>-0.13693153378681891</v>
      </c>
      <c r="F128" s="2">
        <f t="shared" si="98"/>
        <v>-1.463912119089867</v>
      </c>
      <c r="G128" s="6">
        <f t="shared" si="99"/>
        <v>5.4249755328406382E-2</v>
      </c>
      <c r="H128" s="2">
        <f t="shared" si="104"/>
        <v>-0.19830990290513262</v>
      </c>
      <c r="I128" s="2">
        <f t="shared" si="100"/>
        <v>1.1323080944932562</v>
      </c>
      <c r="J128" s="4">
        <f t="shared" si="105"/>
        <v>0.5</v>
      </c>
      <c r="K128" s="8">
        <f t="shared" si="106"/>
        <v>5.0780310319942261E-3</v>
      </c>
      <c r="L128" s="9">
        <f t="shared" si="107"/>
        <v>115816459397390.31</v>
      </c>
      <c r="M128" s="6">
        <f t="shared" si="101"/>
        <v>1237293459950222.7</v>
      </c>
      <c r="N128" s="2">
        <f t="shared" si="102"/>
        <v>8.3333333333333339</v>
      </c>
      <c r="O128" s="12">
        <v>1200</v>
      </c>
      <c r="P128" s="13"/>
      <c r="Q128" s="6">
        <f t="shared" si="103"/>
        <v>4348034938625.9482</v>
      </c>
      <c r="R128" s="6"/>
      <c r="S128" s="6"/>
    </row>
    <row r="129" spans="4:19" ht="15.75">
      <c r="D129" s="2">
        <f t="shared" si="96"/>
        <v>0.74340863414076908</v>
      </c>
      <c r="E129" s="2">
        <f t="shared" si="97"/>
        <v>-0.12877239920220232</v>
      </c>
      <c r="F129" s="2">
        <f t="shared" si="98"/>
        <v>-1.5626365008660286</v>
      </c>
      <c r="G129" s="6">
        <f t="shared" si="99"/>
        <v>4.3218869442833228E-2</v>
      </c>
      <c r="H129" s="2">
        <f t="shared" si="104"/>
        <v>-0.19830990290513262</v>
      </c>
      <c r="I129" s="2">
        <f t="shared" si="100"/>
        <v>1.1323080944932562</v>
      </c>
      <c r="J129" s="4">
        <f t="shared" si="105"/>
        <v>0.5</v>
      </c>
      <c r="K129" s="8">
        <f t="shared" si="106"/>
        <v>4.6874132603023626E-3</v>
      </c>
      <c r="L129" s="9">
        <f t="shared" si="107"/>
        <v>119968053059570.45</v>
      </c>
      <c r="M129" s="6">
        <f t="shared" si="101"/>
        <v>1106128974460854.9</v>
      </c>
      <c r="N129" s="2">
        <f t="shared" si="102"/>
        <v>7.6923076923076925</v>
      </c>
      <c r="O129" s="12">
        <v>1300</v>
      </c>
      <c r="P129" s="13"/>
      <c r="Q129" s="6">
        <f t="shared" si="103"/>
        <v>3694802083128.1426</v>
      </c>
      <c r="R129" s="6"/>
      <c r="S129" s="6"/>
    </row>
    <row r="130" spans="4:19" ht="15.75">
      <c r="D130" s="2">
        <f t="shared" si="96"/>
        <v>0.76582253491346308</v>
      </c>
      <c r="E130" s="2">
        <f>LOG(J130)/(1+(F130/(I130-0.14*F130))^2)</f>
        <v>-0.1158718583532125</v>
      </c>
      <c r="F130" s="2">
        <f>LOG(G130)+H130</f>
        <v>-1.7391365560327472</v>
      </c>
      <c r="G130" s="6">
        <f>M130*K130/L130</f>
        <v>2.8785471458258313E-2</v>
      </c>
      <c r="H130" s="2">
        <f>-0.4-0.67*LOG(J130)</f>
        <v>-0.19830990290513262</v>
      </c>
      <c r="I130" s="2">
        <f>0.75-1.27*LOG(J130)</f>
        <v>1.1323080944932562</v>
      </c>
      <c r="J130" s="4">
        <f t="shared" si="105"/>
        <v>0.5</v>
      </c>
      <c r="K130" s="8">
        <f t="shared" si="106"/>
        <v>4.0624248255953814E-3</v>
      </c>
      <c r="L130" s="9">
        <f t="shared" si="107"/>
        <v>127764644176961.8</v>
      </c>
      <c r="M130" s="6">
        <f>$B$7*O130^$B$8*EXP(-$B$9/1.987/O130)</f>
        <v>905312879923004.25</v>
      </c>
      <c r="N130" s="2">
        <f>10000/O130</f>
        <v>6.666666666666667</v>
      </c>
      <c r="O130" s="12">
        <v>1500</v>
      </c>
      <c r="P130" s="13"/>
      <c r="Q130" s="6">
        <f>L130/(1+L130/M130/K130)*D130</f>
        <v>2737709454696.0054</v>
      </c>
      <c r="R130" s="6"/>
      <c r="S130" s="6"/>
    </row>
    <row r="131" spans="4:19" ht="15.75">
      <c r="D131" s="2">
        <f t="shared" si="96"/>
        <v>0.79045665105656959</v>
      </c>
      <c r="E131" s="2">
        <f>LOG(J131)/(1+(F131/(I131-0.14*F131))^2)</f>
        <v>-0.10212194195332423</v>
      </c>
      <c r="F131" s="2">
        <f>LOG(G131)+H131</f>
        <v>-1.9640112948080017</v>
      </c>
      <c r="G131" s="6">
        <f>M131*K131/L131</f>
        <v>1.7151361793146667E-2</v>
      </c>
      <c r="H131" s="2">
        <f>-0.4-0.67*LOG(J131)</f>
        <v>-0.19830990290513262</v>
      </c>
      <c r="I131" s="2">
        <f>0.75-1.27*LOG(J131)</f>
        <v>1.1323080944932562</v>
      </c>
      <c r="J131" s="4">
        <f t="shared" si="105"/>
        <v>0.5</v>
      </c>
      <c r="K131" s="8">
        <f t="shared" si="106"/>
        <v>3.3853540213294848E-3</v>
      </c>
      <c r="L131" s="9">
        <f t="shared" si="107"/>
        <v>138436444942236.94</v>
      </c>
      <c r="M131" s="6">
        <f>$B$7*O131^$B$8*EXP(-$B$9/1.987/O131)</f>
        <v>701366397015364.12</v>
      </c>
      <c r="N131" s="2">
        <f>10000/O131</f>
        <v>5.5555555555555554</v>
      </c>
      <c r="O131" s="12">
        <v>1800</v>
      </c>
      <c r="P131" s="13"/>
      <c r="Q131" s="6">
        <f>L131/(1+L131/M131/K131)*D131</f>
        <v>1845191814329.6028</v>
      </c>
      <c r="R131" s="6"/>
      <c r="S131" s="6"/>
    </row>
    <row r="132" spans="4:19">
      <c r="D132" s="2"/>
      <c r="E132" s="2"/>
      <c r="R132" s="6"/>
      <c r="S132" s="6"/>
    </row>
    <row r="133" spans="4:19" ht="15.75">
      <c r="D133" s="2"/>
      <c r="E133" s="2"/>
      <c r="F133" s="2"/>
      <c r="G133" s="6"/>
      <c r="H133" s="2"/>
      <c r="I133" s="2"/>
      <c r="J133" s="4"/>
      <c r="K133" s="8"/>
      <c r="L133" s="9"/>
      <c r="M133" s="6"/>
      <c r="N133" s="2"/>
      <c r="O133" s="12"/>
      <c r="P133" s="13"/>
      <c r="Q133" s="6"/>
      <c r="R133" s="6"/>
    </row>
    <row r="134" spans="4:19" ht="15.75">
      <c r="D134" s="2"/>
      <c r="E134" s="2"/>
      <c r="F134" s="2"/>
      <c r="G134" s="6"/>
      <c r="H134" s="2"/>
      <c r="I134" s="2"/>
      <c r="J134" s="4"/>
      <c r="K134" s="8"/>
      <c r="L134" s="9"/>
      <c r="M134" s="6"/>
      <c r="N134" s="2"/>
      <c r="O134" s="12"/>
      <c r="P134" s="13"/>
      <c r="Q134" s="6"/>
      <c r="R134" s="6"/>
      <c r="S134" s="6"/>
    </row>
    <row r="135" spans="4:19" ht="15.75">
      <c r="D135" s="2"/>
      <c r="E135" s="2"/>
      <c r="F135" s="2"/>
      <c r="G135" s="6"/>
      <c r="H135" s="2"/>
      <c r="I135" s="2"/>
      <c r="J135" s="4"/>
      <c r="K135" s="8"/>
      <c r="L135" s="9"/>
      <c r="M135" s="6"/>
      <c r="N135" s="2"/>
      <c r="O135" s="12"/>
      <c r="P135" s="13"/>
      <c r="Q135" s="6"/>
      <c r="R135" s="6"/>
      <c r="S135" s="6"/>
    </row>
    <row r="136" spans="4:19" ht="15.75">
      <c r="D136" s="2"/>
      <c r="E136" s="2"/>
      <c r="F136" s="2"/>
      <c r="G136" s="6"/>
      <c r="H136" s="2"/>
      <c r="I136" s="2"/>
      <c r="J136" s="4"/>
      <c r="K136" s="8"/>
      <c r="L136" s="9"/>
      <c r="M136" s="6"/>
      <c r="N136" s="2"/>
      <c r="O136" s="12"/>
      <c r="P136" s="13"/>
      <c r="Q136" s="6"/>
      <c r="R136" s="6"/>
    </row>
    <row r="137" spans="4:19" ht="15.75">
      <c r="D137" s="2"/>
      <c r="E137" s="2"/>
      <c r="F137" s="2"/>
      <c r="G137" s="6"/>
      <c r="H137" s="2"/>
      <c r="I137" s="2"/>
      <c r="J137" s="4"/>
      <c r="K137" s="8"/>
      <c r="L137" s="9"/>
      <c r="M137" s="6"/>
      <c r="N137" s="2"/>
      <c r="O137" s="12"/>
      <c r="P137" s="13"/>
      <c r="Q137" s="6"/>
      <c r="R137" s="6"/>
    </row>
    <row r="138" spans="4:19" ht="15.75">
      <c r="D138" s="2"/>
      <c r="E138" s="2"/>
      <c r="F138" s="2"/>
      <c r="G138" s="6"/>
      <c r="H138" s="2"/>
      <c r="I138" s="2"/>
      <c r="J138" s="4"/>
      <c r="K138" s="8"/>
      <c r="L138" s="9"/>
      <c r="M138" s="6"/>
      <c r="N138" s="2"/>
      <c r="O138" s="12"/>
      <c r="P138" s="13"/>
      <c r="Q138" s="6"/>
      <c r="R138" s="6"/>
    </row>
    <row r="139" spans="4:19" ht="15.75">
      <c r="D139" s="2"/>
      <c r="E139" s="2"/>
      <c r="F139" s="2"/>
      <c r="G139" s="6"/>
      <c r="H139" s="2"/>
      <c r="I139" s="2"/>
      <c r="J139" s="4"/>
      <c r="K139" s="8"/>
      <c r="L139" s="9"/>
      <c r="M139" s="6"/>
      <c r="N139" s="2"/>
      <c r="O139" s="12"/>
      <c r="P139" s="13"/>
      <c r="Q139" s="6"/>
      <c r="R139" s="6"/>
      <c r="S139" s="6"/>
    </row>
    <row r="140" spans="4:19" ht="15.75">
      <c r="D140" s="2"/>
      <c r="E140" s="2"/>
      <c r="F140" s="2"/>
      <c r="G140" s="6"/>
      <c r="H140" s="2"/>
      <c r="I140" s="2"/>
      <c r="J140" s="4"/>
      <c r="K140" s="8"/>
      <c r="L140" s="9"/>
      <c r="M140" s="6"/>
      <c r="N140" s="2"/>
      <c r="O140" s="12"/>
      <c r="P140" s="13"/>
      <c r="Q140" s="6"/>
      <c r="R140" s="6"/>
    </row>
    <row r="141" spans="4:19" ht="15.75">
      <c r="D141" s="2"/>
      <c r="E141" s="2"/>
      <c r="F141" s="2"/>
      <c r="G141" s="6"/>
      <c r="H141" s="2"/>
      <c r="I141" s="2"/>
      <c r="J141" s="4"/>
      <c r="K141" s="8"/>
      <c r="L141" s="9"/>
      <c r="M141" s="6"/>
      <c r="N141" s="2"/>
      <c r="O141" s="12"/>
      <c r="P141" s="13"/>
      <c r="Q141" s="6"/>
      <c r="R141" s="6"/>
    </row>
    <row r="142" spans="4:19" ht="15.75">
      <c r="D142" s="2"/>
      <c r="E142" s="2"/>
      <c r="F142" s="2"/>
      <c r="G142" s="6"/>
      <c r="H142" s="2"/>
      <c r="I142" s="2"/>
      <c r="J142" s="4"/>
      <c r="K142" s="8"/>
      <c r="L142" s="9"/>
      <c r="M142" s="6"/>
      <c r="N142" s="2"/>
      <c r="O142" s="12"/>
      <c r="P142" s="13"/>
      <c r="Q142" s="6"/>
    </row>
    <row r="143" spans="4:19" ht="15.75">
      <c r="D143" s="2"/>
      <c r="E143" s="2"/>
      <c r="F143" s="2"/>
      <c r="G143" s="6"/>
      <c r="H143" s="2"/>
      <c r="I143" s="2"/>
      <c r="J143" s="4"/>
      <c r="K143" s="8"/>
      <c r="L143" s="9"/>
      <c r="M143" s="6"/>
      <c r="N143" s="2"/>
      <c r="O143" s="12"/>
      <c r="P143" s="13"/>
      <c r="Q143" s="6"/>
      <c r="R143" s="6"/>
    </row>
    <row r="144" spans="4:19" ht="15.75">
      <c r="D144" s="2"/>
      <c r="E144" s="2"/>
      <c r="F144" s="2"/>
      <c r="G144" s="6"/>
      <c r="H144" s="2"/>
      <c r="I144" s="2"/>
      <c r="J144" s="4"/>
      <c r="K144" s="8"/>
      <c r="L144" s="9"/>
      <c r="M144" s="6"/>
      <c r="N144" s="2"/>
      <c r="O144" s="12"/>
      <c r="P144" s="13"/>
      <c r="Q144" s="6"/>
      <c r="R144" s="6"/>
    </row>
    <row r="145" spans="4:19" ht="15.75">
      <c r="D145" s="2"/>
      <c r="E145" s="2"/>
      <c r="F145" s="2"/>
      <c r="G145" s="6"/>
      <c r="H145" s="2"/>
      <c r="I145" s="2"/>
      <c r="J145" s="4"/>
      <c r="K145" s="8"/>
      <c r="L145" s="9"/>
      <c r="M145" s="6"/>
      <c r="N145" s="2"/>
      <c r="O145" s="12"/>
      <c r="P145" s="13"/>
      <c r="Q145" s="6"/>
      <c r="R145" s="6"/>
    </row>
    <row r="146" spans="4:19">
      <c r="D146" s="2"/>
      <c r="E146" s="2"/>
      <c r="R146" s="6"/>
    </row>
    <row r="147" spans="4:19" ht="15.75">
      <c r="D147" s="2"/>
      <c r="E147" s="2"/>
      <c r="F147" s="2"/>
      <c r="G147" s="6"/>
      <c r="H147" s="2"/>
      <c r="I147" s="2"/>
      <c r="J147" s="4"/>
      <c r="K147" s="8"/>
      <c r="L147" s="9"/>
      <c r="M147" s="6"/>
      <c r="N147" s="2"/>
      <c r="O147" s="12"/>
      <c r="P147" s="13"/>
      <c r="Q147" s="6"/>
      <c r="R147" s="6"/>
      <c r="S147" s="6"/>
    </row>
    <row r="148" spans="4:19" ht="15.75">
      <c r="D148" s="2"/>
      <c r="E148" s="2"/>
      <c r="F148" s="2"/>
      <c r="G148" s="6"/>
      <c r="H148" s="2"/>
      <c r="I148" s="2"/>
      <c r="J148" s="4"/>
      <c r="K148" s="8"/>
      <c r="L148" s="9"/>
      <c r="M148" s="6"/>
      <c r="N148" s="2"/>
      <c r="O148" s="12"/>
      <c r="P148" s="13"/>
      <c r="Q148" s="6"/>
      <c r="R148" s="6"/>
      <c r="S148" s="6"/>
    </row>
    <row r="149" spans="4:19" ht="15.75">
      <c r="D149" s="2"/>
      <c r="E149" s="2"/>
      <c r="F149" s="2"/>
      <c r="G149" s="6"/>
      <c r="H149" s="2"/>
      <c r="I149" s="2"/>
      <c r="J149" s="4"/>
      <c r="K149" s="8"/>
      <c r="L149" s="9"/>
      <c r="M149" s="6"/>
      <c r="N149" s="2"/>
      <c r="O149" s="12"/>
      <c r="P149" s="13"/>
      <c r="Q149" s="6"/>
      <c r="R149" s="6"/>
      <c r="S149" s="6"/>
    </row>
    <row r="150" spans="4:19" ht="15.75">
      <c r="D150" s="2"/>
      <c r="E150" s="2"/>
      <c r="F150" s="2"/>
      <c r="G150" s="6"/>
      <c r="H150" s="2"/>
      <c r="I150" s="2"/>
      <c r="J150" s="4"/>
      <c r="K150" s="8"/>
      <c r="L150" s="9"/>
      <c r="M150" s="6"/>
      <c r="N150" s="2"/>
      <c r="O150" s="12"/>
      <c r="P150" s="13"/>
      <c r="Q150" s="6"/>
      <c r="R150" s="6"/>
      <c r="S150" s="6"/>
    </row>
    <row r="151" spans="4:19" ht="15.75">
      <c r="D151" s="2"/>
      <c r="E151" s="2"/>
      <c r="F151" s="2"/>
      <c r="G151" s="6"/>
      <c r="H151" s="2"/>
      <c r="I151" s="2"/>
      <c r="J151" s="4"/>
      <c r="K151" s="8"/>
      <c r="L151" s="9"/>
      <c r="M151" s="6"/>
      <c r="N151" s="2"/>
      <c r="O151" s="12"/>
      <c r="P151" s="13"/>
      <c r="Q151" s="6"/>
      <c r="R151" s="6"/>
      <c r="S151" s="6"/>
    </row>
    <row r="152" spans="4:19" ht="15.75">
      <c r="D152" s="2"/>
      <c r="E152" s="2"/>
      <c r="F152" s="2"/>
      <c r="G152" s="6"/>
      <c r="H152" s="2"/>
      <c r="I152" s="2"/>
      <c r="J152" s="4"/>
      <c r="K152" s="8"/>
      <c r="L152" s="9"/>
      <c r="M152" s="6"/>
      <c r="N152" s="2"/>
      <c r="O152" s="12"/>
      <c r="P152" s="13"/>
      <c r="Q152" s="6"/>
      <c r="R152" s="6"/>
      <c r="S152" s="6"/>
    </row>
    <row r="153" spans="4:19" ht="15.75">
      <c r="D153" s="2"/>
      <c r="E153" s="2"/>
      <c r="F153" s="2"/>
      <c r="G153" s="6"/>
      <c r="H153" s="2"/>
      <c r="I153" s="2"/>
      <c r="J153" s="4"/>
      <c r="K153" s="8"/>
      <c r="L153" s="9"/>
      <c r="M153" s="6"/>
      <c r="N153" s="2"/>
      <c r="O153" s="12"/>
      <c r="P153" s="13"/>
      <c r="Q153" s="6"/>
      <c r="R153" s="6"/>
      <c r="S153" s="6"/>
    </row>
    <row r="154" spans="4:19" ht="15.75">
      <c r="D154" s="2"/>
      <c r="E154" s="2"/>
      <c r="F154" s="2"/>
      <c r="G154" s="6"/>
      <c r="H154" s="2"/>
      <c r="I154" s="2"/>
      <c r="J154" s="4"/>
      <c r="K154" s="8"/>
      <c r="L154" s="9"/>
      <c r="M154" s="6"/>
      <c r="N154" s="2"/>
      <c r="O154" s="12"/>
      <c r="P154" s="13"/>
      <c r="Q154" s="6"/>
      <c r="R154" s="6"/>
      <c r="S154" s="6"/>
    </row>
    <row r="155" spans="4:19" ht="15.75">
      <c r="D155" s="2"/>
      <c r="E155" s="2"/>
      <c r="F155" s="2"/>
      <c r="G155" s="6"/>
      <c r="H155" s="2"/>
      <c r="I155" s="2"/>
      <c r="J155" s="4"/>
      <c r="K155" s="8"/>
      <c r="L155" s="9"/>
      <c r="M155" s="6"/>
      <c r="N155" s="2"/>
      <c r="O155" s="12"/>
      <c r="P155" s="13"/>
      <c r="Q155" s="6"/>
      <c r="R155" s="6"/>
      <c r="S155" s="6"/>
    </row>
    <row r="156" spans="4:19" ht="15.75">
      <c r="D156" s="2"/>
      <c r="E156" s="2"/>
      <c r="F156" s="2"/>
      <c r="G156" s="6"/>
      <c r="H156" s="2"/>
      <c r="I156" s="2"/>
      <c r="J156" s="4"/>
      <c r="K156" s="8"/>
      <c r="L156" s="9"/>
      <c r="M156" s="6"/>
      <c r="N156" s="2"/>
      <c r="O156" s="12"/>
      <c r="P156" s="13"/>
      <c r="Q156" s="6"/>
      <c r="R156" s="6"/>
      <c r="S156" s="6"/>
    </row>
    <row r="157" spans="4:19" ht="15.75">
      <c r="D157" s="2"/>
      <c r="E157" s="2"/>
      <c r="F157" s="2"/>
      <c r="G157" s="6"/>
      <c r="H157" s="2"/>
      <c r="I157" s="2"/>
      <c r="J157" s="4"/>
      <c r="K157" s="8"/>
      <c r="L157" s="9"/>
      <c r="M157" s="6"/>
      <c r="N157" s="2"/>
      <c r="O157" s="12"/>
      <c r="P157" s="13"/>
      <c r="Q157" s="6"/>
      <c r="R157" s="6"/>
      <c r="S157" s="6"/>
    </row>
    <row r="158" spans="4:19" ht="15.75">
      <c r="D158" s="2"/>
      <c r="E158" s="2"/>
      <c r="F158" s="2"/>
      <c r="G158" s="6"/>
      <c r="H158" s="2"/>
      <c r="I158" s="2"/>
      <c r="J158" s="4"/>
      <c r="K158" s="8"/>
      <c r="L158" s="9"/>
      <c r="M158" s="6"/>
      <c r="N158" s="2"/>
      <c r="O158" s="12"/>
      <c r="P158" s="13"/>
      <c r="Q158" s="6"/>
    </row>
    <row r="159" spans="4:19" ht="15.75">
      <c r="D159" s="2"/>
      <c r="E159" s="2"/>
      <c r="F159" s="2"/>
      <c r="G159" s="6"/>
      <c r="H159" s="2"/>
      <c r="I159" s="2"/>
      <c r="J159" s="4"/>
      <c r="K159" s="8"/>
      <c r="L159" s="9"/>
      <c r="M159" s="6"/>
      <c r="N159" s="2"/>
      <c r="O159" s="12"/>
      <c r="P159" s="13"/>
      <c r="Q159" s="6"/>
    </row>
    <row r="160" spans="4:19">
      <c r="D160" s="2"/>
      <c r="E160" s="2"/>
      <c r="R160" s="6"/>
    </row>
    <row r="161" spans="4:19" ht="15.75">
      <c r="D161" s="2"/>
      <c r="E161" s="2"/>
      <c r="F161" s="2"/>
      <c r="G161" s="6"/>
      <c r="H161" s="2"/>
      <c r="I161" s="2"/>
      <c r="J161" s="4"/>
      <c r="K161" s="6"/>
      <c r="L161" s="9"/>
      <c r="M161" s="6"/>
      <c r="N161" s="2"/>
      <c r="O161" s="12"/>
      <c r="P161" s="13"/>
      <c r="Q161" s="6"/>
      <c r="R161" s="6"/>
      <c r="S161" s="6"/>
    </row>
    <row r="162" spans="4:19" ht="15.75">
      <c r="D162" s="2"/>
      <c r="E162" s="2"/>
      <c r="F162" s="2"/>
      <c r="G162" s="6"/>
      <c r="H162" s="2"/>
      <c r="I162" s="2"/>
      <c r="J162" s="4"/>
      <c r="K162" s="6"/>
      <c r="L162" s="9"/>
      <c r="M162" s="6"/>
      <c r="N162" s="2"/>
      <c r="O162" s="12"/>
      <c r="P162" s="13"/>
      <c r="Q162" s="6"/>
      <c r="R162" s="6"/>
      <c r="S162" s="6"/>
    </row>
    <row r="163" spans="4:19" ht="15.75">
      <c r="D163" s="2"/>
      <c r="E163" s="2"/>
      <c r="F163" s="2"/>
      <c r="G163" s="6"/>
      <c r="H163" s="2"/>
      <c r="I163" s="2"/>
      <c r="J163" s="4"/>
      <c r="K163" s="6"/>
      <c r="L163" s="9"/>
      <c r="M163" s="6"/>
      <c r="N163" s="2"/>
      <c r="O163" s="12"/>
      <c r="P163" s="13"/>
      <c r="Q163" s="6"/>
      <c r="R163" s="6"/>
      <c r="S163" s="6"/>
    </row>
    <row r="164" spans="4:19" ht="15.75">
      <c r="D164" s="2"/>
      <c r="E164" s="2"/>
      <c r="F164" s="2"/>
      <c r="G164" s="6"/>
      <c r="H164" s="2"/>
      <c r="I164" s="2"/>
      <c r="J164" s="4"/>
      <c r="K164" s="6"/>
      <c r="L164" s="9"/>
      <c r="M164" s="6"/>
      <c r="N164" s="2"/>
      <c r="O164" s="12"/>
      <c r="P164" s="13"/>
      <c r="Q164" s="6"/>
      <c r="R164" s="6"/>
      <c r="S164" s="6"/>
    </row>
    <row r="165" spans="4:19" ht="15.75">
      <c r="D165" s="2"/>
      <c r="E165" s="2"/>
      <c r="F165" s="2"/>
      <c r="G165" s="6"/>
      <c r="H165" s="2"/>
      <c r="I165" s="2"/>
      <c r="J165" s="4"/>
      <c r="K165" s="6"/>
      <c r="L165" s="9"/>
      <c r="M165" s="6"/>
      <c r="N165" s="2"/>
      <c r="O165" s="12"/>
      <c r="P165" s="13"/>
      <c r="Q165" s="6"/>
      <c r="R165" s="6"/>
    </row>
    <row r="166" spans="4:19" ht="15.75">
      <c r="D166" s="2"/>
      <c r="E166" s="2"/>
      <c r="F166" s="2"/>
      <c r="G166" s="6"/>
      <c r="H166" s="2"/>
      <c r="I166" s="2"/>
      <c r="J166" s="4"/>
      <c r="K166" s="6"/>
      <c r="L166" s="9"/>
      <c r="M166" s="6"/>
      <c r="N166" s="2"/>
      <c r="O166" s="12"/>
      <c r="P166" s="13"/>
      <c r="Q166" s="6"/>
      <c r="R166" s="6"/>
    </row>
    <row r="167" spans="4:19" ht="15.75">
      <c r="D167" s="2"/>
      <c r="E167" s="2"/>
      <c r="F167" s="2"/>
      <c r="G167" s="6"/>
      <c r="H167" s="2"/>
      <c r="I167" s="2"/>
      <c r="J167" s="4"/>
      <c r="K167" s="6"/>
      <c r="L167" s="9"/>
      <c r="M167" s="6"/>
      <c r="N167" s="2"/>
      <c r="O167" s="12"/>
      <c r="P167" s="13"/>
      <c r="Q167" s="6"/>
      <c r="R167" s="6"/>
    </row>
    <row r="168" spans="4:19" ht="15.75">
      <c r="D168" s="2"/>
      <c r="E168" s="2"/>
      <c r="F168" s="2"/>
      <c r="G168" s="6"/>
      <c r="H168" s="2"/>
      <c r="I168" s="2"/>
      <c r="J168" s="4"/>
      <c r="K168" s="6"/>
      <c r="L168" s="9"/>
      <c r="M168" s="6"/>
      <c r="N168" s="2"/>
      <c r="O168" s="12"/>
      <c r="P168" s="13"/>
      <c r="Q168" s="6"/>
    </row>
    <row r="169" spans="4:19" ht="15.75">
      <c r="D169" s="2"/>
      <c r="E169" s="2"/>
      <c r="F169" s="2"/>
      <c r="G169" s="6"/>
      <c r="H169" s="2"/>
      <c r="I169" s="2"/>
      <c r="J169" s="4"/>
      <c r="K169" s="6"/>
      <c r="L169" s="9"/>
      <c r="M169" s="6"/>
      <c r="N169" s="2"/>
      <c r="O169" s="12"/>
      <c r="P169" s="13"/>
      <c r="Q169" s="6"/>
    </row>
    <row r="170" spans="4:19" ht="15.75">
      <c r="D170" s="2"/>
      <c r="E170" s="2"/>
      <c r="F170" s="2"/>
      <c r="G170" s="6"/>
      <c r="H170" s="2"/>
      <c r="I170" s="2"/>
      <c r="J170" s="4"/>
      <c r="K170" s="6"/>
      <c r="L170" s="9"/>
      <c r="M170" s="6"/>
      <c r="N170" s="2"/>
      <c r="O170" s="12"/>
      <c r="P170" s="13"/>
      <c r="Q170" s="6"/>
    </row>
    <row r="171" spans="4:19" ht="15.75">
      <c r="D171" s="2"/>
      <c r="E171" s="2"/>
      <c r="F171" s="2"/>
      <c r="G171" s="6"/>
      <c r="H171" s="2"/>
      <c r="I171" s="2"/>
      <c r="J171" s="4"/>
      <c r="K171" s="6"/>
      <c r="L171" s="9"/>
      <c r="M171" s="6"/>
      <c r="N171" s="2"/>
      <c r="O171" s="12"/>
      <c r="P171" s="13"/>
      <c r="Q171" s="6"/>
    </row>
    <row r="172" spans="4:19" ht="15.75">
      <c r="D172" s="2"/>
      <c r="E172" s="2"/>
      <c r="F172" s="2"/>
      <c r="G172" s="6"/>
      <c r="H172" s="2"/>
      <c r="I172" s="2"/>
      <c r="J172" s="4"/>
      <c r="K172" s="6"/>
      <c r="L172" s="9"/>
      <c r="M172" s="6"/>
      <c r="N172" s="2"/>
      <c r="O172" s="12"/>
      <c r="P172" s="13"/>
      <c r="Q172" s="6"/>
    </row>
    <row r="173" spans="4:19" ht="15.75">
      <c r="D173" s="2"/>
      <c r="E173" s="2"/>
      <c r="F173" s="2"/>
      <c r="G173" s="6"/>
      <c r="H173" s="2"/>
      <c r="I173" s="2"/>
      <c r="J173" s="4"/>
      <c r="K173" s="6"/>
      <c r="L173" s="9"/>
      <c r="M173" s="6"/>
      <c r="N173" s="2"/>
      <c r="O173" s="12"/>
      <c r="P173" s="13"/>
      <c r="Q173" s="6"/>
    </row>
    <row r="174" spans="4:19">
      <c r="D174" s="2"/>
      <c r="E174" s="2"/>
      <c r="R174" s="6"/>
    </row>
    <row r="175" spans="4:19" ht="15.75">
      <c r="D175" s="2"/>
      <c r="E175" s="2"/>
      <c r="F175" s="2"/>
      <c r="G175" s="6"/>
      <c r="H175" s="2"/>
      <c r="I175" s="2"/>
      <c r="J175" s="4"/>
      <c r="K175" s="6"/>
      <c r="L175" s="9"/>
      <c r="M175" s="6"/>
      <c r="N175" s="2"/>
      <c r="O175" s="12"/>
      <c r="P175" s="13"/>
      <c r="Q175" s="6"/>
      <c r="R175" s="6"/>
      <c r="S175" s="6"/>
    </row>
    <row r="176" spans="4:19" ht="15.75">
      <c r="D176" s="2"/>
      <c r="E176" s="2"/>
      <c r="F176" s="2"/>
      <c r="G176" s="6"/>
      <c r="H176" s="2"/>
      <c r="I176" s="2"/>
      <c r="J176" s="4"/>
      <c r="K176" s="6"/>
      <c r="L176" s="9"/>
      <c r="M176" s="6"/>
      <c r="N176" s="2"/>
      <c r="O176" s="12"/>
      <c r="P176" s="13"/>
      <c r="Q176" s="6"/>
      <c r="R176" s="6"/>
      <c r="S176" s="6"/>
    </row>
    <row r="177" spans="4:22" ht="15.75">
      <c r="D177" s="2"/>
      <c r="E177" s="2"/>
      <c r="F177" s="2"/>
      <c r="G177" s="6"/>
      <c r="H177" s="2"/>
      <c r="I177" s="2"/>
      <c r="J177" s="4"/>
      <c r="K177" s="6"/>
      <c r="L177" s="9"/>
      <c r="M177" s="6"/>
      <c r="N177" s="2"/>
      <c r="O177" s="12"/>
      <c r="P177" s="13"/>
      <c r="Q177" s="6"/>
      <c r="R177" s="6"/>
      <c r="S177" s="6"/>
    </row>
    <row r="178" spans="4:22" ht="15.75">
      <c r="D178" s="2"/>
      <c r="E178" s="2"/>
      <c r="F178" s="2"/>
      <c r="G178" s="6"/>
      <c r="H178" s="2"/>
      <c r="I178" s="2"/>
      <c r="J178" s="4"/>
      <c r="K178" s="6"/>
      <c r="L178" s="9"/>
      <c r="M178" s="6"/>
      <c r="N178" s="2"/>
      <c r="O178" s="12"/>
      <c r="P178" s="13"/>
      <c r="Q178" s="6"/>
      <c r="R178" s="6"/>
      <c r="S178" s="6"/>
    </row>
    <row r="179" spans="4:22" ht="15.75">
      <c r="D179" s="2"/>
      <c r="E179" s="2"/>
      <c r="F179" s="2"/>
      <c r="G179" s="6"/>
      <c r="H179" s="2"/>
      <c r="I179" s="2"/>
      <c r="J179" s="4"/>
      <c r="K179" s="6"/>
      <c r="L179" s="9"/>
      <c r="M179" s="6"/>
      <c r="N179" s="2"/>
      <c r="O179" s="12"/>
      <c r="P179" s="13"/>
      <c r="Q179" s="6"/>
      <c r="R179" s="6"/>
      <c r="S179" s="6"/>
    </row>
    <row r="180" spans="4:22" ht="15.75">
      <c r="D180" s="2"/>
      <c r="E180" s="2"/>
      <c r="F180" s="2"/>
      <c r="G180" s="6"/>
      <c r="H180" s="2"/>
      <c r="I180" s="2"/>
      <c r="J180" s="4"/>
      <c r="K180" s="6"/>
      <c r="L180" s="9"/>
      <c r="M180" s="6"/>
      <c r="N180" s="2"/>
      <c r="O180" s="12"/>
      <c r="P180" s="13"/>
      <c r="Q180" s="6"/>
      <c r="R180" s="6"/>
      <c r="S180" s="6"/>
    </row>
    <row r="181" spans="4:22" ht="15.75">
      <c r="D181" s="2"/>
      <c r="E181" s="2"/>
      <c r="F181" s="2"/>
      <c r="G181" s="6"/>
      <c r="H181" s="2"/>
      <c r="I181" s="2"/>
      <c r="J181" s="4"/>
      <c r="K181" s="6"/>
      <c r="L181" s="9"/>
      <c r="M181" s="6"/>
      <c r="N181" s="2"/>
      <c r="O181" s="12"/>
      <c r="P181" s="13"/>
      <c r="Q181" s="6"/>
      <c r="R181" s="6"/>
      <c r="S181" s="6"/>
    </row>
    <row r="182" spans="4:22" ht="15.75">
      <c r="D182" s="2"/>
      <c r="E182" s="2"/>
      <c r="F182" s="2"/>
      <c r="G182" s="6"/>
      <c r="H182" s="2"/>
      <c r="I182" s="2"/>
      <c r="J182" s="4"/>
      <c r="K182" s="6"/>
      <c r="L182" s="9"/>
      <c r="M182" s="6"/>
      <c r="N182" s="2"/>
      <c r="O182" s="12"/>
      <c r="P182" s="13"/>
      <c r="Q182" s="6"/>
      <c r="S182" s="6"/>
    </row>
    <row r="183" spans="4:22" ht="15.75">
      <c r="D183" s="2"/>
      <c r="E183" s="2"/>
      <c r="F183" s="2"/>
      <c r="G183" s="6"/>
      <c r="H183" s="2"/>
      <c r="I183" s="2"/>
      <c r="J183" s="4"/>
      <c r="K183" s="6"/>
      <c r="L183" s="9"/>
      <c r="M183" s="6"/>
      <c r="N183" s="2"/>
      <c r="O183" s="12"/>
      <c r="P183" s="13"/>
      <c r="Q183" s="6"/>
      <c r="S183" s="6"/>
    </row>
    <row r="184" spans="4:22" ht="15.75">
      <c r="D184" s="2"/>
      <c r="E184" s="2"/>
      <c r="F184" s="2"/>
      <c r="G184" s="6"/>
      <c r="H184" s="2"/>
      <c r="I184" s="2"/>
      <c r="J184" s="4"/>
      <c r="K184" s="6"/>
      <c r="L184" s="9"/>
      <c r="M184" s="6"/>
      <c r="N184" s="2"/>
      <c r="O184" s="12"/>
      <c r="P184" s="13"/>
      <c r="Q184" s="6"/>
      <c r="S184" s="6"/>
    </row>
    <row r="185" spans="4:22" ht="15.75">
      <c r="D185" s="2"/>
      <c r="E185" s="2"/>
      <c r="F185" s="2"/>
      <c r="G185" s="6"/>
      <c r="H185" s="2"/>
      <c r="I185" s="2"/>
      <c r="J185" s="4"/>
      <c r="K185" s="6"/>
      <c r="L185" s="9"/>
      <c r="M185" s="6"/>
      <c r="N185" s="2"/>
      <c r="O185" s="12"/>
      <c r="P185" s="13"/>
      <c r="Q185" s="6"/>
      <c r="S185" s="6"/>
    </row>
    <row r="186" spans="4:22" ht="15.75">
      <c r="D186" s="2"/>
      <c r="E186" s="2"/>
      <c r="F186" s="2"/>
      <c r="G186" s="6"/>
      <c r="H186" s="2"/>
      <c r="I186" s="2"/>
      <c r="J186" s="4"/>
      <c r="K186" s="6"/>
      <c r="L186" s="9"/>
      <c r="M186" s="6"/>
      <c r="N186" s="2"/>
      <c r="O186" s="12"/>
      <c r="P186" s="13"/>
      <c r="Q186" s="6"/>
      <c r="S186" s="6"/>
    </row>
    <row r="187" spans="4:22" ht="15.75">
      <c r="D187" s="2"/>
      <c r="E187" s="2"/>
      <c r="F187" s="2"/>
      <c r="G187" s="6"/>
      <c r="H187" s="2"/>
      <c r="I187" s="2"/>
      <c r="J187" s="4"/>
      <c r="K187" s="6"/>
      <c r="L187" s="9"/>
      <c r="M187" s="6"/>
      <c r="N187" s="2"/>
      <c r="O187" s="12"/>
      <c r="P187" s="13"/>
      <c r="Q187" s="6"/>
      <c r="S187" s="6"/>
    </row>
    <row r="188" spans="4:22">
      <c r="D188" s="2"/>
      <c r="E188" s="2"/>
    </row>
    <row r="189" spans="4:22" ht="15.75">
      <c r="D189" s="3"/>
      <c r="E189" s="3"/>
      <c r="F189" s="3"/>
      <c r="G189" s="4"/>
      <c r="H189" s="3"/>
      <c r="I189" s="3"/>
      <c r="J189" s="4"/>
      <c r="K189" s="4"/>
      <c r="L189" s="9"/>
      <c r="M189" s="4"/>
      <c r="N189" s="3"/>
      <c r="O189" s="12"/>
      <c r="P189" s="13"/>
      <c r="Q189" s="20"/>
    </row>
    <row r="190" spans="4:22" ht="15.75">
      <c r="D190" s="3"/>
      <c r="E190" s="3"/>
      <c r="F190" s="3"/>
      <c r="G190" s="4"/>
      <c r="H190" s="3"/>
      <c r="I190" s="3"/>
      <c r="J190" s="4"/>
      <c r="K190" s="4"/>
      <c r="L190" s="9"/>
      <c r="M190" s="4"/>
      <c r="N190" s="3"/>
      <c r="O190" s="12"/>
      <c r="P190" s="13"/>
      <c r="Q190" s="4"/>
      <c r="U190" s="6"/>
      <c r="V190" s="6"/>
    </row>
    <row r="191" spans="4:22" ht="15.75">
      <c r="D191" s="3"/>
      <c r="E191" s="3"/>
      <c r="F191" s="3"/>
      <c r="G191" s="4"/>
      <c r="H191" s="3"/>
      <c r="I191" s="3"/>
      <c r="J191" s="4"/>
      <c r="K191" s="4"/>
      <c r="L191" s="9"/>
      <c r="M191" s="4"/>
      <c r="N191" s="3"/>
      <c r="O191" s="12"/>
      <c r="P191" s="13"/>
      <c r="Q191" s="20"/>
      <c r="U191" s="6"/>
      <c r="V191" s="6"/>
    </row>
    <row r="192" spans="4:22" ht="15.75">
      <c r="D192" s="3"/>
      <c r="E192" s="3"/>
      <c r="F192" s="3"/>
      <c r="G192" s="4"/>
      <c r="H192" s="3"/>
      <c r="I192" s="3"/>
      <c r="J192" s="4"/>
      <c r="K192" s="4"/>
      <c r="L192" s="9"/>
      <c r="M192" s="4"/>
      <c r="N192" s="3"/>
      <c r="O192" s="12"/>
      <c r="P192" s="13"/>
      <c r="Q192" s="4"/>
    </row>
    <row r="193" spans="4:22" ht="15.75">
      <c r="D193" s="3"/>
      <c r="E193" s="3"/>
      <c r="F193" s="3"/>
      <c r="G193" s="4"/>
      <c r="H193" s="3"/>
      <c r="I193" s="3"/>
      <c r="J193" s="4"/>
      <c r="K193" s="4"/>
      <c r="L193" s="9"/>
      <c r="M193" s="4"/>
      <c r="N193" s="3"/>
      <c r="O193" s="12"/>
      <c r="P193" s="13"/>
      <c r="Q193" s="4"/>
      <c r="U193" s="6"/>
    </row>
    <row r="194" spans="4:22" ht="15.75">
      <c r="D194" s="3"/>
      <c r="E194" s="3"/>
      <c r="F194" s="3"/>
      <c r="G194" s="4"/>
      <c r="H194" s="3"/>
      <c r="I194" s="3"/>
      <c r="J194" s="4"/>
      <c r="K194" s="4"/>
      <c r="L194" s="9"/>
      <c r="M194" s="4"/>
      <c r="N194" s="3"/>
      <c r="O194" s="12"/>
      <c r="P194" s="13"/>
      <c r="Q194" s="4"/>
      <c r="U194" s="6"/>
      <c r="V194" s="6"/>
    </row>
    <row r="195" spans="4:22" ht="15.75">
      <c r="D195" s="3"/>
      <c r="E195" s="3"/>
      <c r="F195" s="3"/>
      <c r="G195" s="4"/>
      <c r="H195" s="3"/>
      <c r="I195" s="3"/>
      <c r="J195" s="4"/>
      <c r="K195" s="4"/>
      <c r="L195" s="9"/>
      <c r="M195" s="4"/>
      <c r="N195" s="3"/>
      <c r="O195" s="12"/>
      <c r="P195" s="13"/>
      <c r="Q195" s="4"/>
      <c r="U195" s="6"/>
      <c r="V195" s="6"/>
    </row>
    <row r="196" spans="4:22" ht="15.75">
      <c r="D196" s="3"/>
      <c r="E196" s="3"/>
      <c r="F196" s="3"/>
      <c r="G196" s="4"/>
      <c r="H196" s="3"/>
      <c r="I196" s="3"/>
      <c r="J196" s="4"/>
      <c r="K196" s="4"/>
      <c r="L196" s="9"/>
      <c r="M196" s="4"/>
      <c r="N196" s="3"/>
      <c r="O196" s="12"/>
      <c r="P196" s="13"/>
      <c r="Q196" s="4"/>
      <c r="U196" s="6"/>
    </row>
    <row r="197" spans="4:22" ht="15.75">
      <c r="D197" s="3"/>
      <c r="E197" s="3"/>
      <c r="F197" s="3"/>
      <c r="G197" s="4"/>
      <c r="H197" s="3"/>
      <c r="I197" s="3"/>
      <c r="J197" s="4"/>
      <c r="K197" s="4"/>
      <c r="L197" s="9"/>
      <c r="M197" s="4"/>
      <c r="N197" s="3"/>
      <c r="O197" s="12"/>
      <c r="P197" s="13"/>
      <c r="Q197" s="4"/>
      <c r="U197" s="6"/>
      <c r="V197" s="6"/>
    </row>
    <row r="198" spans="4:22" ht="15.75">
      <c r="D198" s="3"/>
      <c r="E198" s="3"/>
      <c r="F198" s="3"/>
      <c r="G198" s="4"/>
      <c r="H198" s="3"/>
      <c r="I198" s="3"/>
      <c r="J198" s="4"/>
      <c r="K198" s="4"/>
      <c r="L198" s="9"/>
      <c r="M198" s="4"/>
      <c r="N198" s="3"/>
      <c r="O198" s="12"/>
      <c r="P198" s="13"/>
      <c r="Q198" s="4"/>
      <c r="U198" s="6"/>
    </row>
    <row r="199" spans="4:22" ht="15.75">
      <c r="D199" s="3"/>
      <c r="E199" s="3"/>
      <c r="F199" s="3"/>
      <c r="G199" s="4"/>
      <c r="H199" s="3"/>
      <c r="I199" s="3"/>
      <c r="J199" s="4"/>
      <c r="K199" s="4"/>
      <c r="L199" s="9"/>
      <c r="M199" s="4"/>
      <c r="N199" s="3"/>
      <c r="O199" s="12"/>
      <c r="P199" s="13"/>
      <c r="Q199" s="4"/>
      <c r="U199" s="6"/>
      <c r="V199" s="6"/>
    </row>
    <row r="200" spans="4:22" ht="15.75">
      <c r="D200" s="3"/>
      <c r="E200" s="3"/>
      <c r="F200" s="3"/>
      <c r="G200" s="4"/>
      <c r="H200" s="3"/>
      <c r="I200" s="3"/>
      <c r="J200" s="4"/>
      <c r="K200" s="4"/>
      <c r="L200" s="9"/>
      <c r="M200" s="4"/>
      <c r="N200" s="3"/>
      <c r="O200" s="12"/>
      <c r="P200" s="13"/>
      <c r="Q200" s="4"/>
      <c r="U200" s="6"/>
    </row>
    <row r="201" spans="4:22" ht="15.75">
      <c r="D201" s="3"/>
      <c r="E201" s="3"/>
      <c r="F201" s="3"/>
      <c r="G201" s="4"/>
      <c r="H201" s="3"/>
      <c r="I201" s="3"/>
      <c r="J201" s="4"/>
      <c r="K201" s="4"/>
      <c r="L201" s="9"/>
      <c r="M201" s="4"/>
      <c r="N201" s="3"/>
      <c r="O201" s="12"/>
      <c r="P201" s="13"/>
      <c r="Q201" s="4"/>
      <c r="U201" s="6"/>
    </row>
    <row r="202" spans="4:22" ht="15.75">
      <c r="D202" s="3"/>
      <c r="E202" s="3"/>
      <c r="F202" s="3"/>
      <c r="G202" s="4"/>
      <c r="H202" s="3"/>
      <c r="I202" s="3"/>
      <c r="J202" s="4"/>
      <c r="K202" s="4"/>
      <c r="L202" s="9"/>
      <c r="M202" s="4"/>
      <c r="N202" s="3"/>
      <c r="O202" s="12"/>
      <c r="P202" s="13"/>
      <c r="Q202" s="4"/>
      <c r="U202" s="6"/>
    </row>
    <row r="203" spans="4:22" ht="15.75">
      <c r="D203" s="3"/>
      <c r="E203" s="3"/>
      <c r="F203" s="3"/>
      <c r="G203" s="4"/>
      <c r="H203" s="3"/>
      <c r="I203" s="3"/>
      <c r="J203" s="4"/>
      <c r="K203" s="4"/>
      <c r="L203" s="9"/>
      <c r="M203" s="4"/>
      <c r="N203" s="3"/>
      <c r="O203" s="12"/>
      <c r="P203" s="13"/>
      <c r="Q203" s="4"/>
      <c r="U203" s="6"/>
    </row>
    <row r="204" spans="4:22" ht="15.75">
      <c r="D204" s="3"/>
      <c r="E204" s="3"/>
      <c r="F204" s="3"/>
      <c r="G204" s="4"/>
      <c r="H204" s="3"/>
      <c r="I204" s="3"/>
      <c r="J204" s="4"/>
      <c r="K204" s="4"/>
      <c r="L204" s="9"/>
      <c r="M204" s="4"/>
      <c r="N204" s="3"/>
      <c r="O204" s="12"/>
      <c r="P204" s="13"/>
      <c r="Q204" s="4"/>
    </row>
    <row r="205" spans="4:22" ht="15.75">
      <c r="D205" s="3"/>
      <c r="E205" s="3"/>
      <c r="F205" s="3"/>
      <c r="G205" s="4"/>
      <c r="H205" s="3"/>
      <c r="I205" s="3"/>
      <c r="J205" s="4"/>
      <c r="K205" s="4"/>
      <c r="L205" s="9"/>
      <c r="M205" s="4"/>
      <c r="N205" s="3"/>
      <c r="O205" s="12"/>
      <c r="P205" s="13"/>
      <c r="Q205" s="4"/>
      <c r="U205" s="6"/>
      <c r="V205" s="6"/>
    </row>
    <row r="206" spans="4:22" ht="15.75">
      <c r="D206" s="3"/>
      <c r="E206" s="3"/>
      <c r="F206" s="3"/>
      <c r="G206" s="4"/>
      <c r="H206" s="3"/>
      <c r="I206" s="3"/>
      <c r="J206" s="4"/>
      <c r="K206" s="4"/>
      <c r="L206" s="9"/>
      <c r="M206" s="4"/>
      <c r="N206" s="3"/>
      <c r="O206" s="12"/>
      <c r="P206" s="13"/>
      <c r="Q206" s="4"/>
    </row>
    <row r="207" spans="4:22" ht="15.75">
      <c r="D207" s="3"/>
      <c r="E207" s="3"/>
      <c r="F207" s="3"/>
      <c r="G207" s="4"/>
      <c r="H207" s="3"/>
      <c r="I207" s="3"/>
      <c r="J207" s="4"/>
      <c r="K207" s="4"/>
      <c r="L207" s="9"/>
      <c r="M207" s="4"/>
      <c r="N207" s="3"/>
      <c r="O207" s="12"/>
      <c r="P207" s="13"/>
      <c r="Q207" s="4"/>
      <c r="U207" s="21"/>
    </row>
    <row r="208" spans="4:22" ht="15.75">
      <c r="D208" s="3"/>
      <c r="E208" s="3"/>
      <c r="F208" s="3"/>
      <c r="G208" s="4"/>
      <c r="H208" s="3"/>
      <c r="I208" s="3"/>
      <c r="J208" s="4"/>
      <c r="K208" s="4"/>
      <c r="L208" s="9"/>
      <c r="M208" s="4"/>
      <c r="N208" s="3"/>
      <c r="O208" s="12"/>
      <c r="P208" s="13"/>
      <c r="Q208" s="4"/>
      <c r="U208" s="6"/>
    </row>
    <row r="209" spans="4:22" ht="15.75">
      <c r="D209" s="3"/>
      <c r="E209" s="3"/>
      <c r="F209" s="3"/>
      <c r="G209" s="4"/>
      <c r="H209" s="3"/>
      <c r="I209" s="3"/>
      <c r="J209" s="4"/>
      <c r="K209" s="4"/>
      <c r="L209" s="9"/>
      <c r="M209" s="4"/>
      <c r="N209" s="3"/>
      <c r="O209" s="12"/>
      <c r="P209" s="13"/>
      <c r="Q209" s="4"/>
      <c r="U209" s="6"/>
    </row>
    <row r="210" spans="4:22" ht="15.75">
      <c r="D210" s="3"/>
      <c r="E210" s="3"/>
      <c r="F210" s="3"/>
      <c r="G210" s="4"/>
      <c r="H210" s="3"/>
      <c r="I210" s="3"/>
      <c r="J210" s="4"/>
      <c r="K210" s="4"/>
      <c r="L210" s="9"/>
      <c r="M210" s="4"/>
      <c r="N210" s="3"/>
      <c r="O210" s="12"/>
      <c r="P210" s="13"/>
      <c r="Q210" s="4"/>
      <c r="U210" s="6"/>
    </row>
    <row r="211" spans="4:22" ht="15.75">
      <c r="D211" s="3"/>
      <c r="E211" s="3"/>
      <c r="F211" s="3"/>
      <c r="G211" s="4"/>
      <c r="H211" s="3"/>
      <c r="I211" s="3"/>
      <c r="J211" s="4"/>
      <c r="K211" s="4"/>
      <c r="L211" s="9"/>
      <c r="M211" s="4"/>
      <c r="N211" s="3"/>
      <c r="O211" s="12"/>
      <c r="P211" s="13"/>
      <c r="Q211" s="4"/>
      <c r="U211" s="6"/>
    </row>
    <row r="212" spans="4:22" ht="15.75">
      <c r="D212" s="3"/>
      <c r="E212" s="3"/>
      <c r="F212" s="3"/>
      <c r="G212" s="4"/>
      <c r="H212" s="3"/>
      <c r="I212" s="3"/>
      <c r="J212" s="4"/>
      <c r="K212" s="4"/>
      <c r="L212" s="9"/>
      <c r="M212" s="4"/>
      <c r="N212" s="3"/>
      <c r="O212" s="12"/>
      <c r="P212" s="13"/>
      <c r="Q212" s="4"/>
      <c r="U212" s="6"/>
    </row>
    <row r="213" spans="4:22" ht="15.75">
      <c r="D213" s="3"/>
      <c r="E213" s="3"/>
      <c r="F213" s="3"/>
      <c r="G213" s="4"/>
      <c r="H213" s="3"/>
      <c r="I213" s="3"/>
      <c r="J213" s="4"/>
      <c r="K213" s="4"/>
      <c r="L213" s="9"/>
      <c r="M213" s="4"/>
      <c r="N213" s="3"/>
      <c r="O213" s="12"/>
      <c r="P213" s="13"/>
      <c r="Q213" s="4"/>
      <c r="U213" s="6"/>
    </row>
    <row r="214" spans="4:22">
      <c r="U214" s="6"/>
    </row>
    <row r="216" spans="4:22">
      <c r="U216" s="6"/>
    </row>
    <row r="220" spans="4:22">
      <c r="U220" s="6"/>
      <c r="V220" s="6"/>
    </row>
    <row r="221" spans="4:22">
      <c r="U221" s="6"/>
      <c r="V221" s="6"/>
    </row>
    <row r="222" spans="4:22">
      <c r="U222" s="6"/>
      <c r="V222" s="6"/>
    </row>
    <row r="223" spans="4:22">
      <c r="U223" s="6"/>
      <c r="V223" s="6"/>
    </row>
    <row r="224" spans="4:22">
      <c r="V224" s="6"/>
    </row>
    <row r="225" spans="21:22">
      <c r="U225" s="6"/>
      <c r="V225" s="6"/>
    </row>
    <row r="226" spans="21:22">
      <c r="V226" s="6"/>
    </row>
    <row r="227" spans="21:22">
      <c r="U227" s="6"/>
      <c r="V227" s="6"/>
    </row>
    <row r="228" spans="21:22">
      <c r="U228" s="6"/>
      <c r="V22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"/>
  <sheetViews>
    <sheetView topLeftCell="A226" workbookViewId="0">
      <selection activeCell="Q175" sqref="Q175:Q185"/>
    </sheetView>
  </sheetViews>
  <sheetFormatPr defaultColWidth="11.5703125" defaultRowHeight="12.75"/>
  <cols>
    <col min="2" max="2" width="14.28515625" customWidth="1"/>
    <col min="4" max="4" width="6.7109375" customWidth="1"/>
    <col min="5" max="5" width="7.140625" customWidth="1"/>
    <col min="6" max="6" width="8.85546875" bestFit="1" customWidth="1"/>
    <col min="7" max="7" width="9.7109375" customWidth="1"/>
    <col min="8" max="8" width="5.140625" bestFit="1" customWidth="1"/>
    <col min="9" max="9" width="7" bestFit="1" customWidth="1"/>
    <col min="10" max="10" width="8.42578125" bestFit="1" customWidth="1"/>
    <col min="11" max="11" width="9" bestFit="1" customWidth="1"/>
    <col min="12" max="12" width="9.7109375" customWidth="1"/>
    <col min="13" max="13" width="9.140625" customWidth="1"/>
    <col min="14" max="14" width="7.5703125" customWidth="1"/>
    <col min="15" max="15" width="6.140625" customWidth="1"/>
    <col min="16" max="16" width="10.140625" bestFit="1" customWidth="1"/>
    <col min="17" max="17" width="9" bestFit="1" customWidth="1"/>
    <col min="18" max="18" width="12.42578125" bestFit="1" customWidth="1"/>
    <col min="20" max="20" width="14" bestFit="1" customWidth="1"/>
    <col min="21" max="21" width="9.85546875" customWidth="1"/>
    <col min="22" max="22" width="13.42578125" customWidth="1"/>
    <col min="23" max="23" width="10" customWidth="1"/>
    <col min="24" max="24" width="12.42578125" bestFit="1" customWidth="1"/>
    <col min="25" max="25" width="9.5703125" bestFit="1" customWidth="1"/>
    <col min="26" max="26" width="10" customWidth="1"/>
    <col min="28" max="28" width="12.42578125" bestFit="1" customWidth="1"/>
  </cols>
  <sheetData>
    <row r="1" spans="1:35">
      <c r="A1" t="s">
        <v>0</v>
      </c>
    </row>
    <row r="2" spans="1:35">
      <c r="E2" s="6"/>
    </row>
    <row r="3" spans="1:35">
      <c r="S3" s="6"/>
    </row>
    <row r="4" spans="1:35">
      <c r="A4" t="s">
        <v>1</v>
      </c>
      <c r="B4" s="6">
        <v>4650000000000</v>
      </c>
      <c r="C4" s="1"/>
      <c r="D4" s="1"/>
      <c r="E4" s="1"/>
      <c r="F4" s="1"/>
      <c r="R4" t="s">
        <v>41</v>
      </c>
      <c r="Y4" s="6"/>
      <c r="Z4" s="6"/>
    </row>
    <row r="5" spans="1:35">
      <c r="A5" t="s">
        <v>2</v>
      </c>
      <c r="B5" s="10">
        <v>0.44</v>
      </c>
      <c r="Q5" t="s">
        <v>20</v>
      </c>
      <c r="S5" s="14"/>
      <c r="T5" s="14"/>
      <c r="U5" s="14"/>
      <c r="Y5" s="10"/>
    </row>
    <row r="6" spans="1:35" ht="15.75">
      <c r="A6" t="s">
        <v>3</v>
      </c>
      <c r="B6" s="10">
        <v>0</v>
      </c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53</v>
      </c>
      <c r="N6" t="s">
        <v>14</v>
      </c>
      <c r="O6" t="s">
        <v>15</v>
      </c>
      <c r="P6">
        <v>100</v>
      </c>
      <c r="Q6" t="s">
        <v>16</v>
      </c>
      <c r="R6" t="s">
        <v>43</v>
      </c>
      <c r="S6" s="15"/>
      <c r="T6" s="18"/>
      <c r="U6" s="17"/>
      <c r="Y6" s="10"/>
      <c r="AC6" s="6"/>
    </row>
    <row r="7" spans="1:35" ht="15.75">
      <c r="A7" t="s">
        <v>1</v>
      </c>
      <c r="B7" s="6">
        <v>6.81E+18</v>
      </c>
      <c r="D7" s="3">
        <f>10^E7</f>
        <v>0.94930921647857791</v>
      </c>
      <c r="E7" s="3">
        <f t="shared" ref="E7:E17" si="0">LOG(J7)/(1+(F7/(I7-0.14*F7))^2)</f>
        <v>-2.2592302707773893E-2</v>
      </c>
      <c r="F7" s="3">
        <f t="shared" ref="F7:F17" si="1">LOG(G7)+H7</f>
        <v>-3.4650286402838861</v>
      </c>
      <c r="G7" s="4">
        <f t="shared" ref="G7:G17" si="2">M7*K7/L7</f>
        <v>6.7793342425701984E-4</v>
      </c>
      <c r="H7" s="3">
        <f>-0.4-0.67*LOG(J7)</f>
        <v>-0.29621568680955207</v>
      </c>
      <c r="I7" s="3">
        <f t="shared" ref="I7:I17" si="3">0.75-1.27*LOG(J7)</f>
        <v>0.94672548918189381</v>
      </c>
      <c r="J7" s="4">
        <f>(1-$B$10)*EXP(-O7/$B$11)+$B$10*EXP(-O7/$B$12)+EXP(-B$13/O7)</f>
        <v>0.7</v>
      </c>
      <c r="K7" s="4">
        <f t="shared" ref="K7:K19" si="4">$P$6*101325/760/8.314/O7/1000000</f>
        <v>5.3452958231518172E-6</v>
      </c>
      <c r="L7" s="9">
        <f>B$4*O7^B$5*EXP(-B$6/1.987/O7)</f>
        <v>57198719309897.531</v>
      </c>
      <c r="M7" s="4">
        <f t="shared" ref="M7:M17" si="5">$B$7*O7^$B$8*EXP(-$B$9/1.987/O7)</f>
        <v>7254401800723988</v>
      </c>
      <c r="N7" s="3">
        <f t="shared" ref="N7:N17" si="6">10000/O7</f>
        <v>33.333333333333336</v>
      </c>
      <c r="O7" s="12">
        <v>300</v>
      </c>
      <c r="P7" s="13"/>
      <c r="Q7" s="20">
        <f t="shared" ref="Q7:Q17" si="7">L7/(1+L7/M7/K7)*D7</f>
        <v>36786352304.981842</v>
      </c>
      <c r="R7" s="20"/>
      <c r="S7" s="6"/>
      <c r="T7" s="19"/>
      <c r="U7" s="17"/>
      <c r="V7" s="5"/>
      <c r="W7" s="9"/>
      <c r="X7" s="4"/>
      <c r="Y7" s="6"/>
      <c r="AA7" s="6"/>
      <c r="AC7" s="6"/>
      <c r="AI7" s="6"/>
    </row>
    <row r="8" spans="1:35" ht="15.75">
      <c r="A8" t="s">
        <v>2</v>
      </c>
      <c r="B8" s="11">
        <v>-1.2</v>
      </c>
      <c r="D8" s="3">
        <f>10^E8</f>
        <v>0.95410819096276955</v>
      </c>
      <c r="E8" s="3">
        <f t="shared" si="0"/>
        <v>-2.0402375742451351E-2</v>
      </c>
      <c r="F8" s="3">
        <f t="shared" si="1"/>
        <v>-3.7948669049297981</v>
      </c>
      <c r="G8" s="4">
        <f t="shared" si="2"/>
        <v>3.1721139649477763E-4</v>
      </c>
      <c r="H8" s="3">
        <f t="shared" ref="H8:H17" si="8">-0.4-0.67*LOG(J8)</f>
        <v>-0.29621568680955207</v>
      </c>
      <c r="I8" s="3">
        <f t="shared" si="3"/>
        <v>0.94672548918189381</v>
      </c>
      <c r="J8" s="4">
        <f t="shared" ref="J8:J19" si="9">(1-$B$10)*EXP(-O8/$B$11)+$B$10*EXP(-O8/$B$12)+EXP(-B$13/O8)</f>
        <v>0.7</v>
      </c>
      <c r="K8" s="4">
        <f t="shared" si="4"/>
        <v>4.0089718673638631E-6</v>
      </c>
      <c r="L8" s="9">
        <f t="shared" ref="L8:L19" si="10">B$4*O8^B$5*EXP(-B$6/1.987/O8)</f>
        <v>64917135642202.219</v>
      </c>
      <c r="M8" s="4">
        <f t="shared" si="5"/>
        <v>5136592606484073</v>
      </c>
      <c r="N8" s="3">
        <f t="shared" si="6"/>
        <v>25</v>
      </c>
      <c r="O8" s="12">
        <v>400</v>
      </c>
      <c r="P8" s="13"/>
      <c r="Q8" s="4">
        <f t="shared" si="7"/>
        <v>19641199816.97958</v>
      </c>
      <c r="R8" s="4"/>
      <c r="T8" s="19"/>
      <c r="U8" s="17"/>
      <c r="V8" s="5"/>
      <c r="W8" s="9"/>
      <c r="X8" s="4"/>
      <c r="Y8" s="6"/>
      <c r="AA8" s="6"/>
      <c r="AC8" s="6"/>
      <c r="AI8" s="6"/>
    </row>
    <row r="9" spans="1:35" ht="15.75">
      <c r="A9" t="s">
        <v>3</v>
      </c>
      <c r="B9" s="10">
        <v>0</v>
      </c>
      <c r="C9" s="1"/>
      <c r="D9" s="3">
        <f t="shared" ref="D9:D17" si="11">10^E9</f>
        <v>0.95723118009108732</v>
      </c>
      <c r="E9" s="3">
        <f t="shared" si="0"/>
        <v>-1.8983163463364556E-2</v>
      </c>
      <c r="F9" s="3">
        <f t="shared" si="1"/>
        <v>-4.0507093392710667</v>
      </c>
      <c r="G9" s="4">
        <f t="shared" si="2"/>
        <v>1.7599743869547226E-4</v>
      </c>
      <c r="H9" s="3">
        <f t="shared" si="8"/>
        <v>-0.29621568680955207</v>
      </c>
      <c r="I9" s="3">
        <f t="shared" si="3"/>
        <v>0.94672548918189381</v>
      </c>
      <c r="J9" s="4">
        <f t="shared" si="9"/>
        <v>0.7</v>
      </c>
      <c r="K9" s="4">
        <f t="shared" si="4"/>
        <v>3.2071774938910905E-6</v>
      </c>
      <c r="L9" s="9">
        <f t="shared" si="10"/>
        <v>71614300587921.641</v>
      </c>
      <c r="M9" s="4">
        <f t="shared" si="5"/>
        <v>3929914543691253</v>
      </c>
      <c r="N9" s="3">
        <f t="shared" si="6"/>
        <v>20</v>
      </c>
      <c r="O9" s="12">
        <v>500</v>
      </c>
      <c r="P9" s="13"/>
      <c r="Q9" s="20">
        <f t="shared" si="7"/>
        <v>12062755102.399603</v>
      </c>
      <c r="R9" s="20"/>
      <c r="S9" s="6"/>
      <c r="T9" s="19"/>
      <c r="U9" s="17"/>
      <c r="V9" s="5"/>
      <c r="W9" s="9"/>
      <c r="X9" s="4"/>
      <c r="Y9" s="6"/>
      <c r="AA9" s="6"/>
      <c r="AC9" s="6"/>
      <c r="AI9" s="6"/>
    </row>
    <row r="10" spans="1:35" ht="15.75">
      <c r="A10" t="s">
        <v>1</v>
      </c>
      <c r="B10" s="11">
        <v>0.7</v>
      </c>
      <c r="D10" s="3">
        <f t="shared" si="11"/>
        <v>0.95946920298610494</v>
      </c>
      <c r="E10" s="3">
        <f t="shared" si="0"/>
        <v>-1.7968960676134686E-2</v>
      </c>
      <c r="F10" s="3">
        <f t="shared" si="1"/>
        <v>-4.2597478288367965</v>
      </c>
      <c r="G10" s="4">
        <f t="shared" si="2"/>
        <v>1.087596641893698E-4</v>
      </c>
      <c r="H10" s="3">
        <f t="shared" si="8"/>
        <v>-0.29621568680955207</v>
      </c>
      <c r="I10" s="3">
        <f t="shared" si="3"/>
        <v>0.94672548918189381</v>
      </c>
      <c r="J10" s="4">
        <f t="shared" si="9"/>
        <v>0.7</v>
      </c>
      <c r="K10" s="4">
        <f t="shared" si="4"/>
        <v>2.6726479115759086E-6</v>
      </c>
      <c r="L10" s="9">
        <f t="shared" si="10"/>
        <v>77596030140271.719</v>
      </c>
      <c r="M10" s="4">
        <f t="shared" si="5"/>
        <v>3157661786998342</v>
      </c>
      <c r="N10" s="3">
        <f t="shared" si="6"/>
        <v>16.666666666666668</v>
      </c>
      <c r="O10" s="12">
        <v>600</v>
      </c>
      <c r="P10" s="13"/>
      <c r="Q10" s="4">
        <f t="shared" si="7"/>
        <v>8096385328.2258453</v>
      </c>
      <c r="R10" s="4"/>
      <c r="S10" s="6"/>
      <c r="T10" s="19"/>
      <c r="U10" s="17"/>
      <c r="V10" s="5"/>
      <c r="W10" s="9"/>
      <c r="X10" s="4"/>
      <c r="Y10" s="6"/>
      <c r="AA10" s="6"/>
      <c r="AC10" s="6"/>
      <c r="AI10" s="6"/>
    </row>
    <row r="11" spans="1:35" ht="15.75">
      <c r="A11" t="s">
        <v>18</v>
      </c>
      <c r="B11" s="10">
        <v>1E-10</v>
      </c>
      <c r="D11" s="3">
        <f t="shared" si="11"/>
        <v>0.96117474776487677</v>
      </c>
      <c r="E11" s="3">
        <f t="shared" si="0"/>
        <v>-1.7197647616817528E-2</v>
      </c>
      <c r="F11" s="3">
        <f t="shared" si="1"/>
        <v>-4.4364873534616152</v>
      </c>
      <c r="G11" s="4">
        <f t="shared" si="2"/>
        <v>7.2398294130858918E-5</v>
      </c>
      <c r="H11" s="3">
        <f t="shared" si="8"/>
        <v>-0.29621568680955207</v>
      </c>
      <c r="I11" s="3">
        <f t="shared" si="3"/>
        <v>0.94672548918189381</v>
      </c>
      <c r="J11" s="4">
        <f t="shared" si="9"/>
        <v>0.7</v>
      </c>
      <c r="K11" s="4">
        <f t="shared" si="4"/>
        <v>2.2908410670650646E-6</v>
      </c>
      <c r="L11" s="9">
        <f t="shared" si="10"/>
        <v>83041673073623.266</v>
      </c>
      <c r="M11" s="4">
        <f t="shared" si="5"/>
        <v>2624396584615640</v>
      </c>
      <c r="N11" s="3">
        <f t="shared" si="6"/>
        <v>14.285714285714286</v>
      </c>
      <c r="O11" s="12">
        <v>700</v>
      </c>
      <c r="P11" s="13"/>
      <c r="Q11" s="4">
        <f t="shared" si="7"/>
        <v>5778236791.1472864</v>
      </c>
      <c r="R11" s="4"/>
      <c r="S11" s="16"/>
      <c r="T11" s="19"/>
      <c r="U11" s="17"/>
      <c r="V11" s="5"/>
      <c r="W11" s="9"/>
      <c r="X11" s="4"/>
      <c r="Y11" s="6"/>
      <c r="AA11" s="6"/>
      <c r="AC11" s="6"/>
      <c r="AI11" s="6"/>
    </row>
    <row r="12" spans="1:35" ht="15.75">
      <c r="A12" t="s">
        <v>8</v>
      </c>
      <c r="B12" s="6">
        <v>1E+30</v>
      </c>
      <c r="D12" s="3">
        <f t="shared" si="11"/>
        <v>0.96253108322416181</v>
      </c>
      <c r="E12" s="3">
        <f t="shared" si="0"/>
        <v>-1.6585236827499721E-2</v>
      </c>
      <c r="F12" s="3">
        <f t="shared" si="1"/>
        <v>-4.5895860934827084</v>
      </c>
      <c r="G12" s="4">
        <f t="shared" si="2"/>
        <v>5.0889665157936577E-5</v>
      </c>
      <c r="H12" s="3">
        <f t="shared" si="8"/>
        <v>-0.29621568680955207</v>
      </c>
      <c r="I12" s="3">
        <f t="shared" si="3"/>
        <v>0.94672548918189381</v>
      </c>
      <c r="J12" s="4">
        <f t="shared" si="9"/>
        <v>0.7</v>
      </c>
      <c r="K12" s="4">
        <f t="shared" si="4"/>
        <v>2.0044859336819316E-6</v>
      </c>
      <c r="L12" s="9">
        <f t="shared" si="10"/>
        <v>88066867137719.016</v>
      </c>
      <c r="M12" s="4">
        <f t="shared" si="5"/>
        <v>2235831793498709.7</v>
      </c>
      <c r="N12" s="3">
        <f t="shared" si="6"/>
        <v>12.5</v>
      </c>
      <c r="O12" s="12">
        <v>800</v>
      </c>
      <c r="P12" s="13"/>
      <c r="Q12" s="4">
        <f t="shared" si="7"/>
        <v>4313549668.7731695</v>
      </c>
      <c r="R12" s="4"/>
      <c r="S12" s="17"/>
      <c r="T12" s="19"/>
      <c r="U12" s="17"/>
      <c r="V12" s="5"/>
      <c r="W12" s="9"/>
      <c r="X12" s="4"/>
      <c r="Y12" s="6"/>
      <c r="AA12" s="6"/>
      <c r="AC12" s="6"/>
      <c r="AI12" s="6"/>
    </row>
    <row r="13" spans="1:35" ht="15.75">
      <c r="A13" t="s">
        <v>19</v>
      </c>
      <c r="B13" s="6">
        <v>1E+30</v>
      </c>
      <c r="D13" s="3">
        <f t="shared" si="11"/>
        <v>0.96364394416035104</v>
      </c>
      <c r="E13" s="3">
        <f t="shared" si="0"/>
        <v>-1.6083403493957218E-2</v>
      </c>
      <c r="F13" s="3">
        <f t="shared" si="1"/>
        <v>-4.7246287527437953</v>
      </c>
      <c r="G13" s="4">
        <f t="shared" si="2"/>
        <v>3.7289532107902121E-5</v>
      </c>
      <c r="H13" s="3">
        <f t="shared" si="8"/>
        <v>-0.29621568680955207</v>
      </c>
      <c r="I13" s="3">
        <f t="shared" si="3"/>
        <v>0.94672548918189381</v>
      </c>
      <c r="J13" s="4">
        <f t="shared" si="9"/>
        <v>0.7</v>
      </c>
      <c r="K13" s="4">
        <f t="shared" si="4"/>
        <v>1.7817652743839391E-6</v>
      </c>
      <c r="L13" s="9">
        <f t="shared" si="10"/>
        <v>92751225604224.75</v>
      </c>
      <c r="M13" s="4">
        <f t="shared" si="5"/>
        <v>1941136610383132.7</v>
      </c>
      <c r="N13" s="3">
        <f t="shared" si="6"/>
        <v>11.111111111111111</v>
      </c>
      <c r="O13" s="12">
        <v>900</v>
      </c>
      <c r="P13" s="13"/>
      <c r="Q13" s="4">
        <f t="shared" si="7"/>
        <v>3332782661.8617096</v>
      </c>
      <c r="R13" s="4"/>
      <c r="S13" s="6"/>
      <c r="T13" s="19"/>
      <c r="U13" s="17"/>
      <c r="V13" s="5"/>
      <c r="W13" s="9"/>
      <c r="X13" s="4"/>
      <c r="Y13" s="6"/>
      <c r="AA13" s="6"/>
      <c r="AC13" s="6"/>
      <c r="AI13" s="6"/>
    </row>
    <row r="14" spans="1:35" ht="15.75">
      <c r="D14" s="3">
        <f t="shared" si="11"/>
        <v>0.96457909947959408</v>
      </c>
      <c r="E14" s="3">
        <f t="shared" si="0"/>
        <v>-1.5662152614240407E-2</v>
      </c>
      <c r="F14" s="3">
        <f t="shared" si="1"/>
        <v>-4.8454285278239775</v>
      </c>
      <c r="G14" s="4">
        <f t="shared" si="2"/>
        <v>2.8234958840813589E-5</v>
      </c>
      <c r="H14" s="3">
        <f t="shared" si="8"/>
        <v>-0.29621568680955207</v>
      </c>
      <c r="I14" s="3">
        <f t="shared" si="3"/>
        <v>0.94672548918189381</v>
      </c>
      <c r="J14" s="4">
        <f t="shared" si="9"/>
        <v>0.7</v>
      </c>
      <c r="K14" s="4">
        <f t="shared" si="4"/>
        <v>1.6035887469455452E-6</v>
      </c>
      <c r="L14" s="9">
        <f t="shared" si="10"/>
        <v>97152270084712.828</v>
      </c>
      <c r="M14" s="4">
        <f t="shared" si="5"/>
        <v>1710594659858025.2</v>
      </c>
      <c r="N14" s="3">
        <f t="shared" si="6"/>
        <v>10</v>
      </c>
      <c r="O14" s="12">
        <v>1000</v>
      </c>
      <c r="P14" s="13"/>
      <c r="Q14" s="4">
        <f t="shared" si="7"/>
        <v>2645852911.2811227</v>
      </c>
      <c r="R14" s="4"/>
      <c r="S14" s="6"/>
      <c r="T14" s="19"/>
      <c r="U14" s="17"/>
      <c r="V14" s="5"/>
      <c r="W14" s="9"/>
      <c r="X14" s="4"/>
      <c r="Y14" s="6"/>
      <c r="AA14" s="6"/>
      <c r="AC14" s="6"/>
      <c r="AI14" s="6"/>
    </row>
    <row r="15" spans="1:35" ht="15.75">
      <c r="D15" s="3">
        <f t="shared" si="11"/>
        <v>0.96537986029733158</v>
      </c>
      <c r="E15" s="3">
        <f t="shared" si="0"/>
        <v>-1.5301765650919702E-2</v>
      </c>
      <c r="F15" s="3">
        <f t="shared" si="1"/>
        <v>-4.9547052166416918</v>
      </c>
      <c r="G15" s="4">
        <f t="shared" si="2"/>
        <v>2.1953838758096081E-5</v>
      </c>
      <c r="H15" s="3">
        <f t="shared" si="8"/>
        <v>-0.29621568680955207</v>
      </c>
      <c r="I15" s="3">
        <f t="shared" si="3"/>
        <v>0.94672548918189381</v>
      </c>
      <c r="J15" s="4">
        <f t="shared" si="9"/>
        <v>0.7</v>
      </c>
      <c r="K15" s="4">
        <f t="shared" si="4"/>
        <v>1.4578079517686775E-6</v>
      </c>
      <c r="L15" s="9">
        <f t="shared" si="10"/>
        <v>101313130365237.22</v>
      </c>
      <c r="M15" s="4">
        <f t="shared" si="5"/>
        <v>1525723690433896.2</v>
      </c>
      <c r="N15" s="3">
        <f t="shared" si="6"/>
        <v>9.0909090909090917</v>
      </c>
      <c r="O15" s="12">
        <v>1100</v>
      </c>
      <c r="P15" s="13"/>
      <c r="Q15" s="4">
        <f t="shared" si="7"/>
        <v>2147162455.0543017</v>
      </c>
      <c r="R15" s="4"/>
      <c r="S15" s="6"/>
      <c r="T15" s="19"/>
      <c r="U15" s="17"/>
      <c r="V15" s="5"/>
      <c r="W15" s="9"/>
      <c r="X15" s="4"/>
      <c r="Y15" s="6"/>
      <c r="AA15" s="6"/>
      <c r="AC15" s="6"/>
      <c r="AI15" s="6"/>
    </row>
    <row r="16" spans="1:35" ht="15.75">
      <c r="D16" s="3">
        <f t="shared" si="11"/>
        <v>0.96607605515028661</v>
      </c>
      <c r="E16" s="3">
        <f t="shared" si="0"/>
        <v>-1.49886820401119E-2</v>
      </c>
      <c r="F16" s="3">
        <f t="shared" si="1"/>
        <v>-5.0544670173897073</v>
      </c>
      <c r="G16" s="4">
        <f t="shared" si="2"/>
        <v>1.7448121203860235E-5</v>
      </c>
      <c r="H16" s="3">
        <f t="shared" si="8"/>
        <v>-0.29621568680955207</v>
      </c>
      <c r="I16" s="3">
        <f t="shared" si="3"/>
        <v>0.94672548918189381</v>
      </c>
      <c r="J16" s="4">
        <f t="shared" si="9"/>
        <v>0.7</v>
      </c>
      <c r="K16" s="4">
        <f t="shared" si="4"/>
        <v>1.3363239557879543E-6</v>
      </c>
      <c r="L16" s="9">
        <f t="shared" si="10"/>
        <v>105267110281052.58</v>
      </c>
      <c r="M16" s="4">
        <f t="shared" si="5"/>
        <v>1374452123685025</v>
      </c>
      <c r="N16" s="3">
        <f t="shared" si="6"/>
        <v>8.3333333333333339</v>
      </c>
      <c r="O16" s="12">
        <v>1200</v>
      </c>
      <c r="P16" s="13"/>
      <c r="Q16" s="4">
        <f t="shared" si="7"/>
        <v>1774373778.816386</v>
      </c>
      <c r="R16" s="4"/>
      <c r="S16" s="6"/>
      <c r="T16" s="19"/>
      <c r="U16" s="17"/>
      <c r="V16" s="5"/>
      <c r="W16" s="9"/>
      <c r="X16" s="4"/>
      <c r="Y16" s="6"/>
      <c r="AA16" s="6"/>
      <c r="AC16" s="6"/>
      <c r="AI16" s="6"/>
    </row>
    <row r="17" spans="1:35" ht="15.75">
      <c r="A17" t="s">
        <v>17</v>
      </c>
      <c r="D17" s="3">
        <f t="shared" si="11"/>
        <v>0.96668898277319926</v>
      </c>
      <c r="E17" s="3">
        <f t="shared" si="0"/>
        <v>-1.4713230975820666E-2</v>
      </c>
      <c r="F17" s="3">
        <f t="shared" si="1"/>
        <v>-5.1462389779140265</v>
      </c>
      <c r="G17" s="4">
        <f t="shared" si="2"/>
        <v>1.4124617926187234E-5</v>
      </c>
      <c r="H17" s="3">
        <f t="shared" si="8"/>
        <v>-0.29621568680955207</v>
      </c>
      <c r="I17" s="3">
        <f t="shared" si="3"/>
        <v>0.94672548918189381</v>
      </c>
      <c r="J17" s="4">
        <f t="shared" si="9"/>
        <v>0.7</v>
      </c>
      <c r="K17" s="4">
        <f t="shared" si="4"/>
        <v>1.233529805342727E-6</v>
      </c>
      <c r="L17" s="9">
        <f t="shared" si="10"/>
        <v>109040548617475.11</v>
      </c>
      <c r="M17" s="4">
        <f t="shared" si="5"/>
        <v>1248576305990238</v>
      </c>
      <c r="N17" s="3">
        <f t="shared" si="6"/>
        <v>7.6923076923076925</v>
      </c>
      <c r="O17" s="12">
        <v>1300</v>
      </c>
      <c r="P17" s="13"/>
      <c r="Q17" s="4">
        <f t="shared" si="7"/>
        <v>1488830892.5473726</v>
      </c>
      <c r="R17" s="4"/>
      <c r="S17" s="6"/>
      <c r="T17" s="19"/>
      <c r="U17" s="17"/>
      <c r="V17" s="5"/>
      <c r="W17" s="9"/>
      <c r="X17" s="4"/>
      <c r="Y17" s="6"/>
      <c r="AA17" s="6"/>
      <c r="AC17" s="6"/>
      <c r="AI17" s="6"/>
    </row>
    <row r="18" spans="1:35" ht="15.75">
      <c r="A18" s="6"/>
      <c r="D18" s="3">
        <f>10^E18</f>
        <v>0.96772385528418159</v>
      </c>
      <c r="E18" s="3">
        <f>LOG(J18)/(1+(F18/(I18-0.14*F18))^2)</f>
        <v>-1.4248553059061739E-2</v>
      </c>
      <c r="F18" s="3">
        <f>LOG(G18)+H18</f>
        <v>-5.3103094517309763</v>
      </c>
      <c r="G18" s="4">
        <f>M18*K18/L18</f>
        <v>9.6806882598183094E-6</v>
      </c>
      <c r="H18" s="3">
        <f>-0.4-0.67*LOG(J18)</f>
        <v>-0.29621568680955207</v>
      </c>
      <c r="I18" s="3">
        <f>0.75-1.27*LOG(J18)</f>
        <v>0.94672548918189381</v>
      </c>
      <c r="J18" s="4">
        <f t="shared" si="9"/>
        <v>0.7</v>
      </c>
      <c r="K18" s="4">
        <f t="shared" si="4"/>
        <v>1.0690591646303636E-6</v>
      </c>
      <c r="L18" s="9">
        <f t="shared" si="10"/>
        <v>116126973303923.45</v>
      </c>
      <c r="M18" s="4">
        <f>$B$7*O18^$B$8*EXP(-$B$9/1.987/O18)</f>
        <v>1051568579462320.1</v>
      </c>
      <c r="N18" s="3">
        <f>10000/O18</f>
        <v>6.666666666666667</v>
      </c>
      <c r="O18" s="12">
        <v>1500</v>
      </c>
      <c r="P18" s="13"/>
      <c r="Q18" s="4">
        <f>L18/(1+L18/M18/K18)*D18</f>
        <v>1087894007.8217897</v>
      </c>
      <c r="R18" s="4"/>
      <c r="S18" s="6"/>
      <c r="T18" s="19"/>
      <c r="U18" s="17"/>
      <c r="V18" s="5"/>
      <c r="W18" s="9"/>
      <c r="X18" s="4"/>
      <c r="Y18" s="6"/>
      <c r="AA18" s="6"/>
      <c r="AC18" s="6"/>
    </row>
    <row r="19" spans="1:35" ht="15.75">
      <c r="D19" s="3">
        <f>10^E19</f>
        <v>0.9689395241951495</v>
      </c>
      <c r="E19" s="3">
        <f>LOG(J19)/(1+(F19/(I19-0.14*F19))^2)</f>
        <v>-1.3703328344440092E-2</v>
      </c>
      <c r="F19" s="3">
        <f>LOG(G19)+H19</f>
        <v>-5.5193479412967061</v>
      </c>
      <c r="G19" s="4">
        <f>M19*K19/L19</f>
        <v>5.9822939019106283E-6</v>
      </c>
      <c r="H19" s="3">
        <f>-0.4-0.67*LOG(J19)</f>
        <v>-0.29621568680955207</v>
      </c>
      <c r="I19" s="3">
        <f>0.75-1.27*LOG(J19)</f>
        <v>0.94672548918189381</v>
      </c>
      <c r="J19" s="4">
        <f t="shared" si="9"/>
        <v>0.7</v>
      </c>
      <c r="K19" s="4">
        <f t="shared" si="4"/>
        <v>8.9088263719196957E-7</v>
      </c>
      <c r="L19" s="9">
        <f t="shared" si="10"/>
        <v>125826714030766.56</v>
      </c>
      <c r="M19" s="4">
        <f>$B$7*O19^$B$8*EXP(-$B$9/1.987/O19)</f>
        <v>844928784801882.5</v>
      </c>
      <c r="N19" s="3">
        <f>10000/O19</f>
        <v>5.5555555555555554</v>
      </c>
      <c r="O19" s="12">
        <v>1800</v>
      </c>
      <c r="P19" s="13"/>
      <c r="Q19" s="4">
        <f>L19/(1+L19/M19/K19)*D19</f>
        <v>729347794.86872458</v>
      </c>
      <c r="R19" s="4"/>
      <c r="S19" s="6"/>
      <c r="T19" s="19"/>
      <c r="U19" s="17"/>
      <c r="V19" s="5"/>
      <c r="W19" s="9"/>
      <c r="X19" s="4"/>
      <c r="Y19" s="6"/>
      <c r="AA19" s="6"/>
      <c r="AC19" s="6"/>
      <c r="AI19" s="6"/>
    </row>
    <row r="20" spans="1:35">
      <c r="D20" s="2" t="s">
        <v>4</v>
      </c>
      <c r="E20" s="2" t="s">
        <v>5</v>
      </c>
      <c r="F20" t="s">
        <v>6</v>
      </c>
      <c r="G20" s="6" t="s">
        <v>7</v>
      </c>
      <c r="H20" s="2" t="s">
        <v>8</v>
      </c>
      <c r="I20" t="s">
        <v>9</v>
      </c>
      <c r="J20" t="s">
        <v>10</v>
      </c>
      <c r="K20" s="6" t="s">
        <v>11</v>
      </c>
      <c r="L20" s="6" t="s">
        <v>12</v>
      </c>
      <c r="M20" s="6" t="s">
        <v>13</v>
      </c>
      <c r="N20" s="2" t="s">
        <v>14</v>
      </c>
      <c r="P20">
        <v>380</v>
      </c>
      <c r="Q20" s="6" t="s">
        <v>16</v>
      </c>
      <c r="R20" t="s">
        <v>44</v>
      </c>
      <c r="S20" s="6"/>
      <c r="Y20" s="6"/>
      <c r="AI20" s="6"/>
    </row>
    <row r="21" spans="1:35" ht="15.75">
      <c r="D21" s="7">
        <f t="shared" ref="D21:D31" si="12">10^E21</f>
        <v>0.93789920723142695</v>
      </c>
      <c r="E21" s="7">
        <f t="shared" ref="E21:E31" si="13">LOG(J21)/(1+(F21/(I21-0.14*F21))^2)</f>
        <v>-2.7843831232053636E-2</v>
      </c>
      <c r="F21" s="7">
        <f t="shared" ref="F21:F31" si="14">LOG(G21)+H21</f>
        <v>-2.8852450436670756</v>
      </c>
      <c r="G21" s="8">
        <f t="shared" ref="G21:G31" si="15">M21*K21/L21</f>
        <v>2.5761470121766755E-3</v>
      </c>
      <c r="H21" s="7">
        <f>-0.4-0.67*LOG(J21)</f>
        <v>-0.29621568680955207</v>
      </c>
      <c r="I21" s="7">
        <f t="shared" ref="I21:I31" si="16">0.75-1.27*LOG(J21)</f>
        <v>0.94672548918189381</v>
      </c>
      <c r="J21" s="4">
        <f>(1-$B$10)*EXP(-O21/$B$11)+$B$10*EXP(-O21/$B$12)+EXP(-B$13/O21)</f>
        <v>0.7</v>
      </c>
      <c r="K21" s="8">
        <f t="shared" ref="K21:K33" si="17">$P$20*101325/760/8.314/O21/1000000</f>
        <v>2.0312124127976908E-5</v>
      </c>
      <c r="L21" s="9">
        <f>B$4*O21^B$5*EXP(-B$6/1.987/O21)</f>
        <v>57198719309897.531</v>
      </c>
      <c r="M21" s="8">
        <f t="shared" ref="M21:M31" si="18">$B$7*O21^$B$8*EXP(-$B$9/1.987/O21)</f>
        <v>7254401800723988</v>
      </c>
      <c r="N21" s="7">
        <f t="shared" ref="N21:N31" si="19">10000/O21</f>
        <v>33.333333333333336</v>
      </c>
      <c r="O21" s="12">
        <v>300</v>
      </c>
      <c r="P21" s="13"/>
      <c r="Q21" s="8">
        <f t="shared" ref="Q21:Q31" si="20">L21/(1+L21/M21/K21)*D21</f>
        <v>137846501738.93307</v>
      </c>
      <c r="R21" s="8"/>
      <c r="S21" s="6"/>
      <c r="AI21" s="6"/>
    </row>
    <row r="22" spans="1:35" ht="15.75">
      <c r="D22" s="7">
        <f t="shared" si="12"/>
        <v>0.94493877803612125</v>
      </c>
      <c r="E22" s="7">
        <f t="shared" si="13"/>
        <v>-2.4596328234003175E-2</v>
      </c>
      <c r="F22" s="7">
        <f t="shared" si="14"/>
        <v>-3.2150833083129879</v>
      </c>
      <c r="G22" s="8">
        <f t="shared" si="15"/>
        <v>1.2054033066801549E-3</v>
      </c>
      <c r="H22" s="7">
        <f t="shared" ref="H22:H31" si="21">-0.4-0.67*LOG(J22)</f>
        <v>-0.29621568680955207</v>
      </c>
      <c r="I22" s="7">
        <f t="shared" si="16"/>
        <v>0.94672548918189381</v>
      </c>
      <c r="J22" s="4">
        <f t="shared" ref="J22:J33" si="22">(1-$B$10)*EXP(-O22/$B$11)+$B$10*EXP(-O22/$B$12)+EXP(-B$13/O22)</f>
        <v>0.7</v>
      </c>
      <c r="K22" s="8">
        <f t="shared" si="17"/>
        <v>1.523409309598268E-5</v>
      </c>
      <c r="L22" s="9">
        <f t="shared" ref="L22:L33" si="23">B$4*O22^B$5*EXP(-B$6/1.987/O22)</f>
        <v>64917135642202.219</v>
      </c>
      <c r="M22" s="8">
        <f t="shared" si="18"/>
        <v>5136592606484073</v>
      </c>
      <c r="N22" s="7">
        <f t="shared" si="19"/>
        <v>25</v>
      </c>
      <c r="O22" s="12">
        <v>400</v>
      </c>
      <c r="P22" s="13"/>
      <c r="Q22" s="20">
        <f t="shared" si="20"/>
        <v>73853692629.929245</v>
      </c>
      <c r="R22" s="20"/>
      <c r="S22" s="6"/>
      <c r="AI22" s="6"/>
    </row>
    <row r="23" spans="1:35" ht="15.75">
      <c r="D23" s="7">
        <f t="shared" si="12"/>
        <v>0.94940396982191344</v>
      </c>
      <c r="E23" s="7">
        <f t="shared" si="13"/>
        <v>-2.2548956662164114E-2</v>
      </c>
      <c r="F23" s="7">
        <f t="shared" si="14"/>
        <v>-3.4709257426542566</v>
      </c>
      <c r="G23" s="8">
        <f t="shared" si="15"/>
        <v>6.6879026704279451E-4</v>
      </c>
      <c r="H23" s="7">
        <f t="shared" si="21"/>
        <v>-0.29621568680955207</v>
      </c>
      <c r="I23" s="7">
        <f t="shared" si="16"/>
        <v>0.94672548918189381</v>
      </c>
      <c r="J23" s="4">
        <f t="shared" si="22"/>
        <v>0.7</v>
      </c>
      <c r="K23" s="8">
        <f t="shared" si="17"/>
        <v>1.2187274476786143E-5</v>
      </c>
      <c r="L23" s="9">
        <f t="shared" si="23"/>
        <v>71614300587921.641</v>
      </c>
      <c r="M23" s="8">
        <f t="shared" si="18"/>
        <v>3929914543691253</v>
      </c>
      <c r="N23" s="7">
        <f t="shared" si="19"/>
        <v>20</v>
      </c>
      <c r="O23" s="12">
        <v>500</v>
      </c>
      <c r="P23" s="13"/>
      <c r="Q23" s="8">
        <f t="shared" si="20"/>
        <v>45441262345.668617</v>
      </c>
      <c r="R23" s="8"/>
      <c r="S23" s="6"/>
      <c r="AI23" s="6"/>
    </row>
    <row r="24" spans="1:35" ht="15.75">
      <c r="D24" s="7">
        <f t="shared" si="12"/>
        <v>0.95254546473168245</v>
      </c>
      <c r="E24" s="7">
        <f t="shared" si="13"/>
        <v>-2.1114286402086156E-2</v>
      </c>
      <c r="F24" s="7">
        <f t="shared" si="14"/>
        <v>-3.6799642322199864</v>
      </c>
      <c r="G24" s="8">
        <f t="shared" si="15"/>
        <v>4.1328672391960532E-4</v>
      </c>
      <c r="H24" s="7">
        <f t="shared" si="21"/>
        <v>-0.29621568680955207</v>
      </c>
      <c r="I24" s="7">
        <f t="shared" si="16"/>
        <v>0.94672548918189381</v>
      </c>
      <c r="J24" s="4">
        <f t="shared" si="22"/>
        <v>0.7</v>
      </c>
      <c r="K24" s="8">
        <f t="shared" si="17"/>
        <v>1.0156062063988454E-5</v>
      </c>
      <c r="L24" s="9">
        <f t="shared" si="23"/>
        <v>77596030140271.719</v>
      </c>
      <c r="M24" s="8">
        <f t="shared" si="18"/>
        <v>3157661786998342</v>
      </c>
      <c r="N24" s="7">
        <f t="shared" si="19"/>
        <v>16.666666666666668</v>
      </c>
      <c r="O24" s="12">
        <v>600</v>
      </c>
      <c r="P24" s="13"/>
      <c r="Q24" s="20">
        <f t="shared" si="20"/>
        <v>30534950491.688004</v>
      </c>
      <c r="R24" s="20"/>
      <c r="S24" s="6"/>
      <c r="AI24" s="6"/>
    </row>
    <row r="25" spans="1:35" ht="15.75">
      <c r="D25" s="7">
        <f t="shared" si="12"/>
        <v>0.9549059704980013</v>
      </c>
      <c r="E25" s="7">
        <f t="shared" si="13"/>
        <v>-2.0039391248055812E-2</v>
      </c>
      <c r="F25" s="7">
        <f t="shared" si="14"/>
        <v>-3.856703756844805</v>
      </c>
      <c r="G25" s="8">
        <f t="shared" si="15"/>
        <v>2.7511351769726386E-4</v>
      </c>
      <c r="H25" s="7">
        <f t="shared" si="21"/>
        <v>-0.29621568680955207</v>
      </c>
      <c r="I25" s="7">
        <f t="shared" si="16"/>
        <v>0.94672548918189381</v>
      </c>
      <c r="J25" s="4">
        <f t="shared" si="22"/>
        <v>0.7</v>
      </c>
      <c r="K25" s="8">
        <f t="shared" si="17"/>
        <v>8.7051960548472451E-6</v>
      </c>
      <c r="L25" s="9">
        <f t="shared" si="23"/>
        <v>83041673073623.266</v>
      </c>
      <c r="M25" s="8">
        <f t="shared" si="18"/>
        <v>2624396584615640</v>
      </c>
      <c r="N25" s="7">
        <f t="shared" si="19"/>
        <v>14.285714285714286</v>
      </c>
      <c r="O25" s="12">
        <v>700</v>
      </c>
      <c r="P25" s="13"/>
      <c r="Q25" s="8">
        <f t="shared" si="20"/>
        <v>21809673565.61438</v>
      </c>
      <c r="R25" s="8"/>
      <c r="S25" s="6"/>
      <c r="AI25" s="6"/>
    </row>
    <row r="26" spans="1:35" ht="15.75">
      <c r="D26" s="7">
        <f t="shared" si="12"/>
        <v>0.95676207391425105</v>
      </c>
      <c r="E26" s="7">
        <f t="shared" si="13"/>
        <v>-1.9196048464583598E-2</v>
      </c>
      <c r="F26" s="7">
        <f t="shared" si="14"/>
        <v>-4.0098024968658983</v>
      </c>
      <c r="G26" s="8">
        <f t="shared" si="15"/>
        <v>1.9338072760015899E-4</v>
      </c>
      <c r="H26" s="7">
        <f t="shared" si="21"/>
        <v>-0.29621568680955207</v>
      </c>
      <c r="I26" s="7">
        <f t="shared" si="16"/>
        <v>0.94672548918189381</v>
      </c>
      <c r="J26" s="4">
        <f t="shared" si="22"/>
        <v>0.7</v>
      </c>
      <c r="K26" s="8">
        <f t="shared" si="17"/>
        <v>7.6170465479913399E-6</v>
      </c>
      <c r="L26" s="9">
        <f t="shared" si="23"/>
        <v>88066867137719.016</v>
      </c>
      <c r="M26" s="8">
        <f t="shared" si="18"/>
        <v>2235831793498709.7</v>
      </c>
      <c r="N26" s="7">
        <f t="shared" si="19"/>
        <v>12.5</v>
      </c>
      <c r="O26" s="12">
        <v>800</v>
      </c>
      <c r="P26" s="13"/>
      <c r="Q26" s="8">
        <f t="shared" si="20"/>
        <v>16290923810.841623</v>
      </c>
      <c r="R26" s="8"/>
      <c r="S26" s="6"/>
      <c r="AI26" s="6"/>
    </row>
    <row r="27" spans="1:35" ht="15.75">
      <c r="D27" s="7">
        <f t="shared" si="12"/>
        <v>0.95827084407677787</v>
      </c>
      <c r="E27" s="7">
        <f t="shared" si="13"/>
        <v>-1.8511725301817186E-2</v>
      </c>
      <c r="F27" s="7">
        <f t="shared" si="14"/>
        <v>-4.1448451561269852</v>
      </c>
      <c r="G27" s="8">
        <f t="shared" si="15"/>
        <v>1.4170022201002807E-4</v>
      </c>
      <c r="H27" s="7">
        <f t="shared" si="21"/>
        <v>-0.29621568680955207</v>
      </c>
      <c r="I27" s="7">
        <f t="shared" si="16"/>
        <v>0.94672548918189381</v>
      </c>
      <c r="J27" s="4">
        <f t="shared" si="22"/>
        <v>0.7</v>
      </c>
      <c r="K27" s="8">
        <f t="shared" si="17"/>
        <v>6.7707080426589692E-6</v>
      </c>
      <c r="L27" s="9">
        <f t="shared" si="23"/>
        <v>92751225604224.75</v>
      </c>
      <c r="M27" s="8">
        <f t="shared" si="18"/>
        <v>1941136610383132.7</v>
      </c>
      <c r="N27" s="7">
        <f t="shared" si="19"/>
        <v>11.111111111111111</v>
      </c>
      <c r="O27" s="12">
        <v>900</v>
      </c>
      <c r="P27" s="13"/>
      <c r="Q27" s="8">
        <f t="shared" si="20"/>
        <v>12592644038.743277</v>
      </c>
      <c r="R27" s="8"/>
      <c r="S27" s="6"/>
      <c r="AI27" s="6"/>
    </row>
    <row r="28" spans="1:35" ht="15.75">
      <c r="D28" s="7">
        <f t="shared" si="12"/>
        <v>0.95952872153029845</v>
      </c>
      <c r="E28" s="7">
        <f t="shared" si="13"/>
        <v>-1.7942021016646537E-2</v>
      </c>
      <c r="F28" s="7">
        <f t="shared" si="14"/>
        <v>-4.2656449312071674</v>
      </c>
      <c r="G28" s="8">
        <f t="shared" si="15"/>
        <v>1.0729284359509162E-4</v>
      </c>
      <c r="H28" s="7">
        <f t="shared" si="21"/>
        <v>-0.29621568680955207</v>
      </c>
      <c r="I28" s="7">
        <f t="shared" si="16"/>
        <v>0.94672548918189381</v>
      </c>
      <c r="J28" s="4">
        <f t="shared" si="22"/>
        <v>0.7</v>
      </c>
      <c r="K28" s="8">
        <f t="shared" si="17"/>
        <v>6.0936372383930717E-6</v>
      </c>
      <c r="L28" s="9">
        <f t="shared" si="23"/>
        <v>97152270084712.828</v>
      </c>
      <c r="M28" s="8">
        <f t="shared" si="18"/>
        <v>1710594659858025.2</v>
      </c>
      <c r="N28" s="7">
        <f t="shared" si="19"/>
        <v>10</v>
      </c>
      <c r="O28" s="12">
        <v>1000</v>
      </c>
      <c r="P28" s="13"/>
      <c r="Q28" s="8">
        <f t="shared" si="20"/>
        <v>10000808085.405182</v>
      </c>
      <c r="R28" s="8"/>
      <c r="S28" s="6"/>
      <c r="AI28" s="6"/>
    </row>
    <row r="29" spans="1:35" ht="15.75">
      <c r="D29" s="7">
        <f t="shared" si="12"/>
        <v>0.96059852619753028</v>
      </c>
      <c r="E29" s="7">
        <f t="shared" si="13"/>
        <v>-1.7458084014744565E-2</v>
      </c>
      <c r="F29" s="7">
        <f t="shared" si="14"/>
        <v>-4.3749216200248817</v>
      </c>
      <c r="G29" s="8">
        <f t="shared" si="15"/>
        <v>8.3424587280765122E-5</v>
      </c>
      <c r="H29" s="7">
        <f t="shared" si="21"/>
        <v>-0.29621568680955207</v>
      </c>
      <c r="I29" s="7">
        <f t="shared" si="16"/>
        <v>0.94672548918189381</v>
      </c>
      <c r="J29" s="4">
        <f t="shared" si="22"/>
        <v>0.7</v>
      </c>
      <c r="K29" s="8">
        <f t="shared" si="17"/>
        <v>5.539670216720975E-6</v>
      </c>
      <c r="L29" s="9">
        <f t="shared" si="23"/>
        <v>101313130365237.22</v>
      </c>
      <c r="M29" s="8">
        <f t="shared" si="18"/>
        <v>1525723690433896.2</v>
      </c>
      <c r="N29" s="7">
        <f t="shared" si="19"/>
        <v>9.0909090909090917</v>
      </c>
      <c r="O29" s="12">
        <v>1100</v>
      </c>
      <c r="P29" s="13"/>
      <c r="Q29" s="8">
        <f t="shared" si="20"/>
        <v>8118307323.9953146</v>
      </c>
      <c r="R29" s="8"/>
      <c r="S29" s="6"/>
      <c r="AI29" s="6"/>
    </row>
    <row r="30" spans="1:35" ht="15.75">
      <c r="D30" s="7">
        <f t="shared" si="12"/>
        <v>0.9615231188911062</v>
      </c>
      <c r="E30" s="7">
        <f t="shared" si="13"/>
        <v>-1.7040269110235328E-2</v>
      </c>
      <c r="F30" s="7">
        <f t="shared" si="14"/>
        <v>-4.4746834207728972</v>
      </c>
      <c r="G30" s="8">
        <f t="shared" si="15"/>
        <v>6.6302860574668902E-5</v>
      </c>
      <c r="H30" s="7">
        <f t="shared" si="21"/>
        <v>-0.29621568680955207</v>
      </c>
      <c r="I30" s="7">
        <f t="shared" si="16"/>
        <v>0.94672548918189381</v>
      </c>
      <c r="J30" s="4">
        <f t="shared" si="22"/>
        <v>0.7</v>
      </c>
      <c r="K30" s="8">
        <f t="shared" si="17"/>
        <v>5.0780310319942269E-6</v>
      </c>
      <c r="L30" s="9">
        <f t="shared" si="23"/>
        <v>105267110281052.58</v>
      </c>
      <c r="M30" s="8">
        <f t="shared" si="18"/>
        <v>1374452123685025</v>
      </c>
      <c r="N30" s="7">
        <f t="shared" si="19"/>
        <v>8.3333333333333339</v>
      </c>
      <c r="O30" s="12">
        <v>1200</v>
      </c>
      <c r="P30" s="13"/>
      <c r="Q30" s="8">
        <f t="shared" si="20"/>
        <v>6710515812.574254</v>
      </c>
      <c r="R30" s="8"/>
      <c r="S30" s="6"/>
    </row>
    <row r="31" spans="1:35" ht="15.75">
      <c r="D31" s="7">
        <f t="shared" si="12"/>
        <v>0.96233285485717956</v>
      </c>
      <c r="E31" s="7">
        <f t="shared" si="13"/>
        <v>-1.6674686772026468E-2</v>
      </c>
      <c r="F31" s="7">
        <f t="shared" si="14"/>
        <v>-4.5664553812972164</v>
      </c>
      <c r="G31" s="8">
        <f t="shared" si="15"/>
        <v>5.3673548119511495E-5</v>
      </c>
      <c r="H31" s="7">
        <f t="shared" si="21"/>
        <v>-0.29621568680955207</v>
      </c>
      <c r="I31" s="7">
        <f t="shared" si="16"/>
        <v>0.94672548918189381</v>
      </c>
      <c r="J31" s="4">
        <f t="shared" si="22"/>
        <v>0.7</v>
      </c>
      <c r="K31" s="8">
        <f t="shared" si="17"/>
        <v>4.6874132603023633E-6</v>
      </c>
      <c r="L31" s="9">
        <f t="shared" si="23"/>
        <v>109040548617475.11</v>
      </c>
      <c r="M31" s="8">
        <f t="shared" si="18"/>
        <v>1248576305990238</v>
      </c>
      <c r="N31" s="7">
        <f t="shared" si="19"/>
        <v>7.6923076923076925</v>
      </c>
      <c r="O31" s="12">
        <v>1300</v>
      </c>
      <c r="P31" s="13"/>
      <c r="Q31" s="8">
        <f t="shared" si="20"/>
        <v>5631840377.3324461</v>
      </c>
      <c r="R31" s="8"/>
      <c r="S31" s="6"/>
      <c r="AI31" s="6"/>
    </row>
    <row r="32" spans="1:35" ht="15.75">
      <c r="D32" s="7">
        <f>10^E32</f>
        <v>0.96369087611189852</v>
      </c>
      <c r="E32" s="7">
        <f>LOG(J32)/(1+(F32/(I32-0.14*F32))^2)</f>
        <v>-1.6062252744879612E-2</v>
      </c>
      <c r="F32" s="7">
        <f>LOG(G32)+H32</f>
        <v>-4.7305258551141662</v>
      </c>
      <c r="G32" s="8">
        <f>M32*K32/L32</f>
        <v>3.6786615387309575E-5</v>
      </c>
      <c r="H32" s="7">
        <f>-0.4-0.67*LOG(J32)</f>
        <v>-0.29621568680955207</v>
      </c>
      <c r="I32" s="7">
        <f>0.75-1.27*LOG(J32)</f>
        <v>0.94672548918189381</v>
      </c>
      <c r="J32" s="4">
        <f t="shared" si="22"/>
        <v>0.7</v>
      </c>
      <c r="K32" s="8">
        <f t="shared" si="17"/>
        <v>4.0624248255953812E-6</v>
      </c>
      <c r="L32" s="9">
        <f t="shared" si="23"/>
        <v>116126973303923.45</v>
      </c>
      <c r="M32" s="8">
        <f>$B$7*O32^$B$8*EXP(-$B$9/1.987/O32)</f>
        <v>1051568579462320.1</v>
      </c>
      <c r="N32" s="7">
        <f>10000/O32</f>
        <v>6.666666666666667</v>
      </c>
      <c r="O32" s="12">
        <v>1500</v>
      </c>
      <c r="P32" s="13"/>
      <c r="Q32" s="8">
        <f>L32/(1+L32/M32/K32)*D32</f>
        <v>4116657254.2323666</v>
      </c>
      <c r="R32" s="8"/>
      <c r="S32" s="6"/>
      <c r="Y32" s="6"/>
      <c r="AI32" s="6"/>
    </row>
    <row r="33" spans="4:44" ht="15.75">
      <c r="D33" s="7">
        <f>10^E33</f>
        <v>0.96527135199412462</v>
      </c>
      <c r="E33" s="7">
        <f>LOG(J33)/(1+(F33/(I33-0.14*F33))^2)</f>
        <v>-1.5350582917418273E-2</v>
      </c>
      <c r="F33" s="7">
        <f>LOG(G33)+H33</f>
        <v>-4.939564344679896</v>
      </c>
      <c r="G33" s="8">
        <f>M33*K33/L33</f>
        <v>2.2732716827260387E-5</v>
      </c>
      <c r="H33" s="7">
        <f>-0.4-0.67*LOG(J33)</f>
        <v>-0.29621568680955207</v>
      </c>
      <c r="I33" s="7">
        <f>0.75-1.27*LOG(J33)</f>
        <v>0.94672548918189381</v>
      </c>
      <c r="J33" s="4">
        <f t="shared" si="22"/>
        <v>0.7</v>
      </c>
      <c r="K33" s="8">
        <f t="shared" si="17"/>
        <v>3.3853540213294846E-6</v>
      </c>
      <c r="L33" s="9">
        <f t="shared" si="23"/>
        <v>125826714030766.56</v>
      </c>
      <c r="M33" s="8">
        <f>$B$7*O33^$B$8*EXP(-$B$9/1.987/O33)</f>
        <v>844928784801882.5</v>
      </c>
      <c r="N33" s="7">
        <f>10000/O33</f>
        <v>5.5555555555555554</v>
      </c>
      <c r="O33" s="12">
        <v>1800</v>
      </c>
      <c r="P33" s="13"/>
      <c r="Q33" s="8">
        <f>L33/(1+L33/M33/K33)*D33</f>
        <v>2760983058.2893648</v>
      </c>
      <c r="R33" s="8"/>
      <c r="S33" s="6"/>
      <c r="Y33" s="10"/>
      <c r="AI33" s="6"/>
    </row>
    <row r="34" spans="4:44">
      <c r="D34" s="2" t="s">
        <v>4</v>
      </c>
      <c r="E34" s="2" t="s">
        <v>5</v>
      </c>
      <c r="F34" t="s">
        <v>6</v>
      </c>
      <c r="G34" s="6" t="s">
        <v>7</v>
      </c>
      <c r="H34" s="2" t="s">
        <v>8</v>
      </c>
      <c r="I34" t="s">
        <v>9</v>
      </c>
      <c r="J34" t="s">
        <v>10</v>
      </c>
      <c r="K34" s="6" t="s">
        <v>11</v>
      </c>
      <c r="L34" s="6" t="s">
        <v>12</v>
      </c>
      <c r="M34" s="6" t="s">
        <v>13</v>
      </c>
      <c r="N34" s="2" t="s">
        <v>14</v>
      </c>
      <c r="P34">
        <v>760</v>
      </c>
      <c r="Q34" s="6" t="s">
        <v>16</v>
      </c>
      <c r="R34" t="s">
        <v>45</v>
      </c>
      <c r="S34" s="6"/>
      <c r="Y34" s="10"/>
      <c r="AI34" s="6"/>
    </row>
    <row r="35" spans="4:44" ht="15.75">
      <c r="D35" s="2">
        <f t="shared" ref="D35:D45" si="24">10^E35</f>
        <v>0.92979964567128015</v>
      </c>
      <c r="E35" s="2">
        <f t="shared" ref="E35:E45" si="25">LOG(J35)/(1+(F35/(I35-0.14*F35))^2)</f>
        <v>-3.1610623654154665E-2</v>
      </c>
      <c r="F35" s="2">
        <f t="shared" ref="F35:F45" si="26">LOG(G35)+H35</f>
        <v>-2.5842150480030948</v>
      </c>
      <c r="G35" s="6">
        <f t="shared" ref="G35:G45" si="27">M35*K35/L35</f>
        <v>5.1522940243533509E-3</v>
      </c>
      <c r="H35" s="2">
        <f>-0.4-0.67*LOG(J35)</f>
        <v>-0.29621568680955207</v>
      </c>
      <c r="I35" s="2">
        <f t="shared" ref="I35:I45" si="28">0.75-1.27*LOG(J35)</f>
        <v>0.94672548918189381</v>
      </c>
      <c r="J35" s="4">
        <f>(1-$B$10)*EXP(-O35/$B$11)+$B$10*EXP(-O35/$B$12)+EXP(-B$13/O35)</f>
        <v>0.7</v>
      </c>
      <c r="K35" s="8">
        <f>$P$34*101325/760/8.314/O35/1000000</f>
        <v>4.0624248255953815E-5</v>
      </c>
      <c r="L35" s="9">
        <f>B$4*O35^B$5*EXP(-B$6/1.987/O35)</f>
        <v>57198719309897.531</v>
      </c>
      <c r="M35" s="6">
        <f t="shared" ref="M35:M45" si="29">$B$7*O35^$B$8*EXP(-$B$9/1.987/O35)</f>
        <v>7254401800723988</v>
      </c>
      <c r="N35" s="2">
        <f t="shared" ref="N35:N45" si="30">10000/O35</f>
        <v>33.333333333333336</v>
      </c>
      <c r="O35" s="12">
        <v>300</v>
      </c>
      <c r="P35" s="13"/>
      <c r="Q35" s="6">
        <f t="shared" ref="Q35:Q45" si="31">L35/(1+L35/M35/K35)*D35</f>
        <v>272611675469.23627</v>
      </c>
      <c r="R35" s="6"/>
      <c r="S35" s="6"/>
      <c r="AI35" s="6"/>
    </row>
    <row r="36" spans="4:44" ht="15.75">
      <c r="D36" s="2">
        <f t="shared" si="24"/>
        <v>0.93858233892455611</v>
      </c>
      <c r="E36" s="2">
        <f t="shared" si="25"/>
        <v>-2.75276220602091E-2</v>
      </c>
      <c r="F36" s="2">
        <f t="shared" si="26"/>
        <v>-2.9140533126490067</v>
      </c>
      <c r="G36" s="6">
        <f t="shared" si="27"/>
        <v>2.4108066133603097E-3</v>
      </c>
      <c r="H36" s="2">
        <f t="shared" ref="H36:H45" si="32">-0.4-0.67*LOG(J36)</f>
        <v>-0.29621568680955207</v>
      </c>
      <c r="I36" s="2">
        <f t="shared" si="28"/>
        <v>0.94672548918189381</v>
      </c>
      <c r="J36" s="4">
        <f t="shared" ref="J36:J47" si="33">(1-$B$10)*EXP(-O36/$B$11)+$B$10*EXP(-O36/$B$12)+EXP(-B$13/O36)</f>
        <v>0.7</v>
      </c>
      <c r="K36" s="8">
        <f t="shared" ref="K36:K47" si="34">$P$34*101325/760/8.314/O36/1000000</f>
        <v>3.046818619196536E-5</v>
      </c>
      <c r="L36" s="9">
        <f t="shared" ref="L36:L47" si="35">B$4*O36^B$5*EXP(-B$6/1.987/O36)</f>
        <v>64917135642202.219</v>
      </c>
      <c r="M36" s="6">
        <f t="shared" si="29"/>
        <v>5136592606484073</v>
      </c>
      <c r="N36" s="2">
        <f t="shared" si="30"/>
        <v>25</v>
      </c>
      <c r="O36" s="12">
        <v>400</v>
      </c>
      <c r="P36" s="13"/>
      <c r="Q36" s="6">
        <f t="shared" si="31"/>
        <v>146537359366.78442</v>
      </c>
      <c r="R36" s="6"/>
      <c r="S36" s="6"/>
      <c r="AI36" s="6"/>
    </row>
    <row r="37" spans="4:44" ht="15.75">
      <c r="D37" s="2">
        <f t="shared" si="24"/>
        <v>0.94406774641060587</v>
      </c>
      <c r="E37" s="2">
        <f t="shared" si="25"/>
        <v>-2.4996839561453908E-2</v>
      </c>
      <c r="F37" s="2">
        <f t="shared" si="26"/>
        <v>-3.1698957469902753</v>
      </c>
      <c r="G37" s="6">
        <f t="shared" si="27"/>
        <v>1.337580534085589E-3</v>
      </c>
      <c r="H37" s="2">
        <f t="shared" si="32"/>
        <v>-0.29621568680955207</v>
      </c>
      <c r="I37" s="2">
        <f t="shared" si="28"/>
        <v>0.94672548918189381</v>
      </c>
      <c r="J37" s="4">
        <f t="shared" si="33"/>
        <v>0.7</v>
      </c>
      <c r="K37" s="8">
        <f t="shared" si="34"/>
        <v>2.4374548953572287E-5</v>
      </c>
      <c r="L37" s="9">
        <f t="shared" si="35"/>
        <v>71614300587921.641</v>
      </c>
      <c r="M37" s="6">
        <f t="shared" si="29"/>
        <v>3929914543691253</v>
      </c>
      <c r="N37" s="2">
        <f t="shared" si="30"/>
        <v>20</v>
      </c>
      <c r="O37" s="12">
        <v>500</v>
      </c>
      <c r="P37" s="13"/>
      <c r="Q37" s="6">
        <f t="shared" si="31"/>
        <v>90311351056.898056</v>
      </c>
      <c r="R37" s="6"/>
      <c r="S37" s="6"/>
      <c r="AI37" s="6"/>
    </row>
    <row r="38" spans="4:44" ht="15.75">
      <c r="D38" s="2">
        <f t="shared" si="24"/>
        <v>0.94788411312894028</v>
      </c>
      <c r="E38" s="2">
        <f t="shared" si="25"/>
        <v>-2.3244755599777765E-2</v>
      </c>
      <c r="F38" s="2">
        <f t="shared" si="26"/>
        <v>-3.3789342365560051</v>
      </c>
      <c r="G38" s="6">
        <f t="shared" si="27"/>
        <v>8.2657344783921064E-4</v>
      </c>
      <c r="H38" s="2">
        <f t="shared" si="32"/>
        <v>-0.29621568680955207</v>
      </c>
      <c r="I38" s="2">
        <f t="shared" si="28"/>
        <v>0.94672548918189381</v>
      </c>
      <c r="J38" s="4">
        <f t="shared" si="33"/>
        <v>0.7</v>
      </c>
      <c r="K38" s="8">
        <f t="shared" si="34"/>
        <v>2.0312124127976908E-5</v>
      </c>
      <c r="L38" s="9">
        <f t="shared" si="35"/>
        <v>77596030140271.719</v>
      </c>
      <c r="M38" s="6">
        <f t="shared" si="29"/>
        <v>3157661786998342</v>
      </c>
      <c r="N38" s="2">
        <f t="shared" si="30"/>
        <v>16.666666666666668</v>
      </c>
      <c r="O38" s="12">
        <v>600</v>
      </c>
      <c r="P38" s="13"/>
      <c r="Q38" s="6">
        <f t="shared" si="31"/>
        <v>60745955785.684914</v>
      </c>
      <c r="R38" s="6"/>
      <c r="S38" s="6"/>
      <c r="AI38" s="6"/>
    </row>
    <row r="39" spans="4:44" ht="15.75">
      <c r="D39" s="2">
        <f t="shared" si="24"/>
        <v>0.95072721166101126</v>
      </c>
      <c r="E39" s="2">
        <f t="shared" si="25"/>
        <v>-2.1944075559802833E-2</v>
      </c>
      <c r="F39" s="2">
        <f t="shared" si="26"/>
        <v>-3.5556737611808238</v>
      </c>
      <c r="G39" s="6">
        <f t="shared" si="27"/>
        <v>5.5022703539452772E-4</v>
      </c>
      <c r="H39" s="2">
        <f t="shared" si="32"/>
        <v>-0.29621568680955207</v>
      </c>
      <c r="I39" s="2">
        <f t="shared" si="28"/>
        <v>0.94672548918189381</v>
      </c>
      <c r="J39" s="4">
        <f t="shared" si="33"/>
        <v>0.7</v>
      </c>
      <c r="K39" s="8">
        <f t="shared" si="34"/>
        <v>1.741039210969449E-5</v>
      </c>
      <c r="L39" s="9">
        <f t="shared" si="35"/>
        <v>83041673073623.266</v>
      </c>
      <c r="M39" s="6">
        <f t="shared" si="29"/>
        <v>2624396584615640</v>
      </c>
      <c r="N39" s="2">
        <f t="shared" si="30"/>
        <v>14.285714285714286</v>
      </c>
      <c r="O39" s="12">
        <v>700</v>
      </c>
      <c r="P39" s="13"/>
      <c r="Q39" s="20">
        <f t="shared" si="31"/>
        <v>43416523555.549706</v>
      </c>
      <c r="R39" s="20"/>
      <c r="S39" s="6"/>
      <c r="AI39" s="6"/>
    </row>
    <row r="40" spans="4:44" ht="15.75">
      <c r="D40" s="2">
        <f t="shared" si="24"/>
        <v>0.95294748384511241</v>
      </c>
      <c r="E40" s="2">
        <f t="shared" si="25"/>
        <v>-2.0931032315207231E-2</v>
      </c>
      <c r="F40" s="2">
        <f t="shared" si="26"/>
        <v>-3.7087725012019166</v>
      </c>
      <c r="G40" s="6">
        <f t="shared" si="27"/>
        <v>3.8676145520031798E-4</v>
      </c>
      <c r="H40" s="2">
        <f t="shared" si="32"/>
        <v>-0.29621568680955207</v>
      </c>
      <c r="I40" s="2">
        <f t="shared" si="28"/>
        <v>0.94672548918189381</v>
      </c>
      <c r="J40" s="4">
        <f t="shared" si="33"/>
        <v>0.7</v>
      </c>
      <c r="K40" s="8">
        <f t="shared" si="34"/>
        <v>1.523409309598268E-5</v>
      </c>
      <c r="L40" s="9">
        <f t="shared" si="35"/>
        <v>88066867137719.016</v>
      </c>
      <c r="M40" s="6">
        <f t="shared" si="29"/>
        <v>2235831793498709.7</v>
      </c>
      <c r="N40" s="2">
        <f t="shared" si="30"/>
        <v>12.5</v>
      </c>
      <c r="O40" s="12">
        <v>800</v>
      </c>
      <c r="P40" s="13"/>
      <c r="Q40" s="20">
        <f t="shared" si="31"/>
        <v>32445671332.760941</v>
      </c>
      <c r="R40" s="20"/>
      <c r="S40" s="6"/>
      <c r="U40" s="6"/>
      <c r="V40" s="6"/>
      <c r="AI40" s="6"/>
    </row>
    <row r="41" spans="4:44" ht="15.75">
      <c r="D41" s="2">
        <f t="shared" si="24"/>
        <v>0.95474207549055168</v>
      </c>
      <c r="E41" s="2">
        <f t="shared" si="25"/>
        <v>-2.011393765221774E-2</v>
      </c>
      <c r="F41" s="2">
        <f t="shared" si="26"/>
        <v>-3.843815160463004</v>
      </c>
      <c r="G41" s="6">
        <f t="shared" si="27"/>
        <v>2.8340044402005613E-4</v>
      </c>
      <c r="H41" s="2">
        <f t="shared" si="32"/>
        <v>-0.29621568680955207</v>
      </c>
      <c r="I41" s="2">
        <f t="shared" si="28"/>
        <v>0.94672548918189381</v>
      </c>
      <c r="J41" s="4">
        <f t="shared" si="33"/>
        <v>0.7</v>
      </c>
      <c r="K41" s="8">
        <f t="shared" si="34"/>
        <v>1.3541416085317938E-5</v>
      </c>
      <c r="L41" s="9">
        <f t="shared" si="35"/>
        <v>92751225604224.75</v>
      </c>
      <c r="M41" s="6">
        <f t="shared" si="29"/>
        <v>1941136610383132.7</v>
      </c>
      <c r="N41" s="2">
        <f t="shared" si="30"/>
        <v>11.111111111111111</v>
      </c>
      <c r="O41" s="12">
        <v>900</v>
      </c>
      <c r="P41" s="13"/>
      <c r="Q41" s="20">
        <f t="shared" si="31"/>
        <v>25088990319.048218</v>
      </c>
      <c r="R41" s="20"/>
      <c r="S41" s="6"/>
      <c r="V41" s="6"/>
      <c r="AI41" s="6"/>
    </row>
    <row r="42" spans="4:44" ht="15.75">
      <c r="D42" s="2">
        <f t="shared" si="24"/>
        <v>0.95623109909092585</v>
      </c>
      <c r="E42" s="2">
        <f t="shared" si="25"/>
        <v>-1.9437136038732521E-2</v>
      </c>
      <c r="F42" s="2">
        <f t="shared" si="26"/>
        <v>-3.9646149355431857</v>
      </c>
      <c r="G42" s="6">
        <f t="shared" si="27"/>
        <v>2.1458568719018325E-4</v>
      </c>
      <c r="H42" s="2">
        <f t="shared" si="32"/>
        <v>-0.29621568680955207</v>
      </c>
      <c r="I42" s="2">
        <f t="shared" si="28"/>
        <v>0.94672548918189381</v>
      </c>
      <c r="J42" s="4">
        <f t="shared" si="33"/>
        <v>0.7</v>
      </c>
      <c r="K42" s="8">
        <f t="shared" si="34"/>
        <v>1.2187274476786143E-5</v>
      </c>
      <c r="L42" s="9">
        <f t="shared" si="35"/>
        <v>97152270084712.828</v>
      </c>
      <c r="M42" s="6">
        <f t="shared" si="29"/>
        <v>1710594659858025.2</v>
      </c>
      <c r="N42" s="2">
        <f t="shared" si="30"/>
        <v>10</v>
      </c>
      <c r="O42" s="12">
        <v>1000</v>
      </c>
      <c r="P42" s="13"/>
      <c r="Q42" s="6">
        <f t="shared" si="31"/>
        <v>19930738210.188095</v>
      </c>
      <c r="R42" s="6"/>
      <c r="S42" s="6"/>
    </row>
    <row r="43" spans="4:44" ht="15.75">
      <c r="D43" s="2">
        <f t="shared" si="24"/>
        <v>0.95749228378131812</v>
      </c>
      <c r="E43" s="2">
        <f t="shared" si="25"/>
        <v>-1.8864717228475558E-2</v>
      </c>
      <c r="F43" s="2">
        <f t="shared" si="26"/>
        <v>-4.0738916243609005</v>
      </c>
      <c r="G43" s="6">
        <f t="shared" si="27"/>
        <v>1.6684917456153024E-4</v>
      </c>
      <c r="H43" s="2">
        <f t="shared" si="32"/>
        <v>-0.29621568680955207</v>
      </c>
      <c r="I43" s="2">
        <f t="shared" si="28"/>
        <v>0.94672548918189381</v>
      </c>
      <c r="J43" s="4">
        <f t="shared" si="33"/>
        <v>0.7</v>
      </c>
      <c r="K43" s="8">
        <f t="shared" si="34"/>
        <v>1.107934043344195E-5</v>
      </c>
      <c r="L43" s="9">
        <f t="shared" si="35"/>
        <v>101313130365237.22</v>
      </c>
      <c r="M43" s="6">
        <f t="shared" si="29"/>
        <v>1525723690433896.2</v>
      </c>
      <c r="N43" s="2">
        <f t="shared" si="30"/>
        <v>9.0909090909090917</v>
      </c>
      <c r="O43" s="12">
        <v>1100</v>
      </c>
      <c r="P43" s="13"/>
      <c r="Q43" s="6">
        <f t="shared" si="31"/>
        <v>16182761140.909922</v>
      </c>
      <c r="R43" s="6"/>
      <c r="S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4:44" ht="15.75">
      <c r="D44" s="2">
        <f t="shared" si="24"/>
        <v>0.95857836512929984</v>
      </c>
      <c r="E44" s="2">
        <f t="shared" si="25"/>
        <v>-1.8372377149981595E-2</v>
      </c>
      <c r="F44" s="2">
        <f t="shared" si="26"/>
        <v>-4.1736534251089159</v>
      </c>
      <c r="G44" s="6">
        <f t="shared" si="27"/>
        <v>1.326057211493378E-4</v>
      </c>
      <c r="H44" s="2">
        <f t="shared" si="32"/>
        <v>-0.29621568680955207</v>
      </c>
      <c r="I44" s="2">
        <f t="shared" si="28"/>
        <v>0.94672548918189381</v>
      </c>
      <c r="J44" s="4">
        <f t="shared" si="33"/>
        <v>0.7</v>
      </c>
      <c r="K44" s="8">
        <f t="shared" si="34"/>
        <v>1.0156062063988454E-5</v>
      </c>
      <c r="L44" s="9">
        <f t="shared" si="35"/>
        <v>105267110281052.58</v>
      </c>
      <c r="M44" s="6">
        <f t="shared" si="29"/>
        <v>1374452123685025</v>
      </c>
      <c r="N44" s="2">
        <f t="shared" si="30"/>
        <v>8.3333333333333339</v>
      </c>
      <c r="O44" s="12">
        <v>1200</v>
      </c>
      <c r="P44" s="13"/>
      <c r="Q44" s="6">
        <f t="shared" si="31"/>
        <v>13379041460.682661</v>
      </c>
      <c r="R44" s="6"/>
      <c r="S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4:44" ht="15.75">
      <c r="D45" s="2">
        <f t="shared" si="24"/>
        <v>0.95952650905900982</v>
      </c>
      <c r="E45" s="2">
        <f t="shared" si="25"/>
        <v>-1.7943022409474346E-2</v>
      </c>
      <c r="F45" s="2">
        <f t="shared" si="26"/>
        <v>-4.2654253856332351</v>
      </c>
      <c r="G45" s="6">
        <f t="shared" si="27"/>
        <v>1.0734709623902299E-4</v>
      </c>
      <c r="H45" s="2">
        <f t="shared" si="32"/>
        <v>-0.29621568680955207</v>
      </c>
      <c r="I45" s="2">
        <f t="shared" si="28"/>
        <v>0.94672548918189381</v>
      </c>
      <c r="J45" s="4">
        <f t="shared" si="33"/>
        <v>0.7</v>
      </c>
      <c r="K45" s="8">
        <f t="shared" si="34"/>
        <v>9.3748265206047265E-6</v>
      </c>
      <c r="L45" s="9">
        <f t="shared" si="35"/>
        <v>109040548617475.11</v>
      </c>
      <c r="M45" s="6">
        <f t="shared" si="29"/>
        <v>1248576305990238</v>
      </c>
      <c r="N45" s="2">
        <f t="shared" si="30"/>
        <v>7.6923076923076925</v>
      </c>
      <c r="O45" s="12">
        <v>1300</v>
      </c>
      <c r="P45" s="13"/>
      <c r="Q45" s="6">
        <f t="shared" si="31"/>
        <v>11230230983.394226</v>
      </c>
      <c r="R45" s="6"/>
      <c r="S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4:44" ht="15.75">
      <c r="D46" s="2">
        <f>10^E46</f>
        <v>0.96111023467179824</v>
      </c>
      <c r="E46" s="2">
        <f>LOG(J46)/(1+(F46/(I46-0.14*F46))^2)</f>
        <v>-1.7226798008773973E-2</v>
      </c>
      <c r="F46" s="2">
        <f>LOG(G46)+H46</f>
        <v>-4.429495859450185</v>
      </c>
      <c r="G46" s="6">
        <f>M46*K46/L46</f>
        <v>7.357323077461915E-5</v>
      </c>
      <c r="H46" s="2">
        <f>-0.4-0.67*LOG(J46)</f>
        <v>-0.29621568680955207</v>
      </c>
      <c r="I46" s="2">
        <f>0.75-1.27*LOG(J46)</f>
        <v>0.94672548918189381</v>
      </c>
      <c r="J46" s="4">
        <f t="shared" si="33"/>
        <v>0.7</v>
      </c>
      <c r="K46" s="8">
        <f t="shared" si="34"/>
        <v>8.1248496511907623E-6</v>
      </c>
      <c r="L46" s="9">
        <f t="shared" si="35"/>
        <v>116126973303923.45</v>
      </c>
      <c r="M46" s="6">
        <f>$B$7*O46^$B$8*EXP(-$B$9/1.987/O46)</f>
        <v>1051568579462320.1</v>
      </c>
      <c r="N46" s="2">
        <f>10000/O46</f>
        <v>6.666666666666667</v>
      </c>
      <c r="O46" s="12">
        <v>1500</v>
      </c>
      <c r="P46" s="13"/>
      <c r="Q46" s="6">
        <f>L46/(1+L46/M46/K46)*D46</f>
        <v>8210964698.235281</v>
      </c>
      <c r="R46" s="6"/>
      <c r="S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4:44" ht="15.75">
      <c r="D47" s="2">
        <f>10^E47</f>
        <v>0.9629430785833466</v>
      </c>
      <c r="E47" s="2">
        <f>LOG(J47)/(1+(F47/(I47-0.14*F47))^2)</f>
        <v>-1.6399384098500891E-2</v>
      </c>
      <c r="F47" s="2">
        <f>LOG(G47)+H47</f>
        <v>-4.6385343490159148</v>
      </c>
      <c r="G47" s="6">
        <f>M47*K47/L47</f>
        <v>4.5465433654520773E-5</v>
      </c>
      <c r="H47" s="2">
        <f>-0.4-0.67*LOG(J47)</f>
        <v>-0.29621568680955207</v>
      </c>
      <c r="I47" s="2">
        <f>0.75-1.27*LOG(J47)</f>
        <v>0.94672548918189381</v>
      </c>
      <c r="J47" s="4">
        <f t="shared" si="33"/>
        <v>0.7</v>
      </c>
      <c r="K47" s="8">
        <f t="shared" si="34"/>
        <v>6.7707080426589692E-6</v>
      </c>
      <c r="L47" s="9">
        <f t="shared" si="35"/>
        <v>125826714030766.56</v>
      </c>
      <c r="M47" s="6">
        <f>$B$7*O47^$B$8*EXP(-$B$9/1.987/O47)</f>
        <v>844928784801882.5</v>
      </c>
      <c r="N47" s="2">
        <f>10000/O47</f>
        <v>5.5555555555555554</v>
      </c>
      <c r="O47" s="12">
        <v>1800</v>
      </c>
      <c r="P47" s="13"/>
      <c r="Q47" s="6">
        <f>L47/(1+L47/M47/K47)*D47</f>
        <v>5508521690.8997917</v>
      </c>
      <c r="R47" s="6"/>
      <c r="S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4:44">
      <c r="D48" s="2" t="s">
        <v>4</v>
      </c>
      <c r="E48" s="2" t="s">
        <v>5</v>
      </c>
      <c r="F48" t="s">
        <v>6</v>
      </c>
      <c r="G48" s="6" t="s">
        <v>7</v>
      </c>
      <c r="H48" s="2" t="s">
        <v>8</v>
      </c>
      <c r="I48" t="s">
        <v>9</v>
      </c>
      <c r="J48" t="s">
        <v>10</v>
      </c>
      <c r="K48" s="6" t="s">
        <v>11</v>
      </c>
      <c r="L48" s="6" t="s">
        <v>12</v>
      </c>
      <c r="M48" s="6" t="s">
        <v>13</v>
      </c>
      <c r="N48" s="2" t="s">
        <v>14</v>
      </c>
      <c r="P48">
        <v>1520</v>
      </c>
      <c r="Q48" s="6" t="s">
        <v>16</v>
      </c>
      <c r="R48" t="s">
        <v>46</v>
      </c>
      <c r="S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4:44" ht="15.75">
      <c r="D49" s="2">
        <f t="shared" ref="D49:D59" si="36">10^E49</f>
        <v>0.91951199884347756</v>
      </c>
      <c r="E49" s="2">
        <f t="shared" ref="E49:E59" si="37">LOG(J49)/(1+(F49/(I49-0.14*F49))^2)</f>
        <v>-3.6442599218169489E-2</v>
      </c>
      <c r="F49" s="2">
        <f t="shared" ref="F49:F59" si="38">LOG(G49)+H49</f>
        <v>-2.2831850523391135</v>
      </c>
      <c r="G49" s="6">
        <f t="shared" ref="G49:G59" si="39">M49*K49/L49</f>
        <v>1.0304588048706702E-2</v>
      </c>
      <c r="H49" s="2">
        <f>-0.4-0.67*LOG(J49)</f>
        <v>-0.29621568680955207</v>
      </c>
      <c r="I49" s="2">
        <f t="shared" ref="I49:I59" si="40">0.75-1.27*LOG(J49)</f>
        <v>0.94672548918189381</v>
      </c>
      <c r="J49" s="4">
        <f>(1-$B$10)*EXP(-O49/$B$11)+$B$10*EXP(-O49/$B$12)+EXP(-B$13/O49)</f>
        <v>0.7</v>
      </c>
      <c r="K49" s="8">
        <f>$P$48*101325/760/8.314/O49/1000000</f>
        <v>8.124849651190763E-5</v>
      </c>
      <c r="L49" s="9">
        <f>B$4*O49^B$5*EXP(-B$6/1.987/O49)</f>
        <v>57198719309897.531</v>
      </c>
      <c r="M49" s="6">
        <f t="shared" ref="M49:M59" si="41">$B$7*O49^$B$8*EXP(-$B$9/1.987/O49)</f>
        <v>7254401800723988</v>
      </c>
      <c r="N49" s="2">
        <f t="shared" ref="N49:N59" si="42">10000/O49</f>
        <v>33.333333333333336</v>
      </c>
      <c r="O49" s="12">
        <v>300</v>
      </c>
      <c r="P49" s="13"/>
      <c r="Q49" s="6">
        <f t="shared" ref="Q49:Q58" si="43">L49/(1+L49/M49/K49)*D49</f>
        <v>536441063685.74652</v>
      </c>
      <c r="R49" s="6"/>
      <c r="S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4:44" ht="15.75">
      <c r="D50" s="2">
        <f t="shared" si="36"/>
        <v>0.93065873500585516</v>
      </c>
      <c r="E50" s="2">
        <f t="shared" si="37"/>
        <v>-3.1209542084299945E-2</v>
      </c>
      <c r="F50" s="2">
        <f t="shared" si="38"/>
        <v>-2.6130233169850254</v>
      </c>
      <c r="G50" s="6">
        <f t="shared" si="39"/>
        <v>4.8216132267206195E-3</v>
      </c>
      <c r="H50" s="2">
        <f t="shared" ref="H50:H59" si="44">-0.4-0.67*LOG(J50)</f>
        <v>-0.29621568680955207</v>
      </c>
      <c r="I50" s="2">
        <f t="shared" si="40"/>
        <v>0.94672548918189381</v>
      </c>
      <c r="J50" s="4">
        <f t="shared" ref="J50:J61" si="45">(1-$B$10)*EXP(-O50/$B$11)+$B$10*EXP(-O50/$B$12)+EXP(-B$13/O50)</f>
        <v>0.7</v>
      </c>
      <c r="K50" s="8">
        <f t="shared" ref="K50:K61" si="46">$P$48*101325/760/8.314/O50/1000000</f>
        <v>6.0936372383930719E-5</v>
      </c>
      <c r="L50" s="9">
        <f t="shared" ref="L50:L61" si="47">B$4*O50^B$5*EXP(-B$6/1.987/O50)</f>
        <v>64917135642202.219</v>
      </c>
      <c r="M50" s="6">
        <f t="shared" si="41"/>
        <v>5136592606484073</v>
      </c>
      <c r="N50" s="2">
        <f t="shared" si="42"/>
        <v>25</v>
      </c>
      <c r="O50" s="12">
        <v>400</v>
      </c>
      <c r="P50" s="13"/>
      <c r="Q50" s="6">
        <f t="shared" si="43"/>
        <v>289903333278.5307</v>
      </c>
      <c r="R50" s="6"/>
      <c r="S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4:44" ht="15.75">
      <c r="D51" s="2">
        <f t="shared" si="36"/>
        <v>0.9375043042039487</v>
      </c>
      <c r="E51" s="2">
        <f t="shared" si="37"/>
        <v>-2.8026729693328485E-2</v>
      </c>
      <c r="F51" s="2">
        <f t="shared" si="38"/>
        <v>-2.8688657513262941</v>
      </c>
      <c r="G51" s="6">
        <f t="shared" si="39"/>
        <v>2.675161068171178E-3</v>
      </c>
      <c r="H51" s="2">
        <f t="shared" si="44"/>
        <v>-0.29621568680955207</v>
      </c>
      <c r="I51" s="2">
        <f t="shared" si="40"/>
        <v>0.94672548918189381</v>
      </c>
      <c r="J51" s="4">
        <f t="shared" si="45"/>
        <v>0.7</v>
      </c>
      <c r="K51" s="8">
        <f t="shared" si="46"/>
        <v>4.8749097907144574E-5</v>
      </c>
      <c r="L51" s="9">
        <f t="shared" si="47"/>
        <v>71614300587921.641</v>
      </c>
      <c r="M51" s="6">
        <f t="shared" si="41"/>
        <v>3929914543691253</v>
      </c>
      <c r="N51" s="2">
        <f t="shared" si="42"/>
        <v>20</v>
      </c>
      <c r="O51" s="12">
        <v>500</v>
      </c>
      <c r="P51" s="13"/>
      <c r="Q51" s="6">
        <f t="shared" si="43"/>
        <v>179127681252.91064</v>
      </c>
      <c r="R51" s="6"/>
      <c r="S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4:44" ht="15.75">
      <c r="D52" s="2">
        <f t="shared" si="36"/>
        <v>0.94220847729488943</v>
      </c>
      <c r="E52" s="2">
        <f t="shared" si="37"/>
        <v>-2.5852992619723587E-2</v>
      </c>
      <c r="F52" s="2">
        <f t="shared" si="38"/>
        <v>-3.0779042408920239</v>
      </c>
      <c r="G52" s="6">
        <f t="shared" si="39"/>
        <v>1.6531468956784213E-3</v>
      </c>
      <c r="H52" s="2">
        <f t="shared" si="44"/>
        <v>-0.29621568680955207</v>
      </c>
      <c r="I52" s="2">
        <f t="shared" si="40"/>
        <v>0.94672548918189381</v>
      </c>
      <c r="J52" s="4">
        <f t="shared" si="45"/>
        <v>0.7</v>
      </c>
      <c r="K52" s="8">
        <f t="shared" si="46"/>
        <v>4.0624248255953815E-5</v>
      </c>
      <c r="L52" s="9">
        <f t="shared" si="47"/>
        <v>77596030140271.719</v>
      </c>
      <c r="M52" s="6">
        <f t="shared" si="41"/>
        <v>3157661786998342</v>
      </c>
      <c r="N52" s="2">
        <f t="shared" si="42"/>
        <v>16.666666666666668</v>
      </c>
      <c r="O52" s="12">
        <v>600</v>
      </c>
      <c r="P52" s="13"/>
      <c r="Q52" s="6">
        <f t="shared" si="43"/>
        <v>120664799770.9053</v>
      </c>
      <c r="R52" s="6"/>
      <c r="S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4:44" ht="15.75">
      <c r="D53" s="2">
        <f t="shared" si="36"/>
        <v>0.94567970032492454</v>
      </c>
      <c r="E53" s="2">
        <f t="shared" si="37"/>
        <v>-2.4255933297952004E-2</v>
      </c>
      <c r="F53" s="2">
        <f t="shared" si="38"/>
        <v>-3.2546437655168425</v>
      </c>
      <c r="G53" s="6">
        <f t="shared" si="39"/>
        <v>1.1004540707890554E-3</v>
      </c>
      <c r="H53" s="2">
        <f t="shared" si="44"/>
        <v>-0.29621568680955207</v>
      </c>
      <c r="I53" s="2">
        <f t="shared" si="40"/>
        <v>0.94672548918189381</v>
      </c>
      <c r="J53" s="4">
        <f t="shared" si="45"/>
        <v>0.7</v>
      </c>
      <c r="K53" s="8">
        <f t="shared" si="46"/>
        <v>3.482078421938898E-5</v>
      </c>
      <c r="L53" s="9">
        <f t="shared" si="47"/>
        <v>83041673073623.266</v>
      </c>
      <c r="M53" s="6">
        <f t="shared" si="41"/>
        <v>2624396584615640</v>
      </c>
      <c r="N53" s="2">
        <f t="shared" si="42"/>
        <v>14.285714285714286</v>
      </c>
      <c r="O53" s="12">
        <v>700</v>
      </c>
      <c r="P53" s="13"/>
      <c r="Q53" s="6">
        <f t="shared" si="43"/>
        <v>86324569287.1866</v>
      </c>
      <c r="R53" s="6"/>
      <c r="S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4:44" ht="15.75">
      <c r="D54" s="2">
        <f t="shared" si="36"/>
        <v>0.94836983416214993</v>
      </c>
      <c r="E54" s="2">
        <f t="shared" si="37"/>
        <v>-2.3022268554324682E-2</v>
      </c>
      <c r="F54" s="2">
        <f t="shared" si="38"/>
        <v>-3.4077425055379353</v>
      </c>
      <c r="G54" s="6">
        <f t="shared" si="39"/>
        <v>7.7352291040063597E-4</v>
      </c>
      <c r="H54" s="2">
        <f t="shared" si="44"/>
        <v>-0.29621568680955207</v>
      </c>
      <c r="I54" s="2">
        <f t="shared" si="40"/>
        <v>0.94672548918189381</v>
      </c>
      <c r="J54" s="4">
        <f t="shared" si="45"/>
        <v>0.7</v>
      </c>
      <c r="K54" s="8">
        <f t="shared" si="46"/>
        <v>3.046818619196536E-5</v>
      </c>
      <c r="L54" s="9">
        <f t="shared" si="47"/>
        <v>88066867137719.016</v>
      </c>
      <c r="M54" s="6">
        <f t="shared" si="41"/>
        <v>2235831793498709.7</v>
      </c>
      <c r="N54" s="2">
        <f t="shared" si="42"/>
        <v>12.5</v>
      </c>
      <c r="O54" s="12">
        <v>800</v>
      </c>
      <c r="P54" s="13"/>
      <c r="Q54" s="20">
        <f t="shared" si="43"/>
        <v>64554668162.17672</v>
      </c>
      <c r="R54" s="20"/>
      <c r="S54" s="6"/>
    </row>
    <row r="55" spans="4:44" ht="15.75">
      <c r="D55" s="2">
        <f t="shared" si="36"/>
        <v>0.95053050624178936</v>
      </c>
      <c r="E55" s="2">
        <f t="shared" si="37"/>
        <v>-2.2033940366271619E-2</v>
      </c>
      <c r="F55" s="2">
        <f t="shared" si="38"/>
        <v>-3.5427851647990227</v>
      </c>
      <c r="G55" s="6">
        <f t="shared" si="39"/>
        <v>5.6680088804011227E-4</v>
      </c>
      <c r="H55" s="2">
        <f t="shared" si="44"/>
        <v>-0.29621568680955207</v>
      </c>
      <c r="I55" s="2">
        <f t="shared" si="40"/>
        <v>0.94672548918189381</v>
      </c>
      <c r="J55" s="4">
        <f t="shared" si="45"/>
        <v>0.7</v>
      </c>
      <c r="K55" s="8">
        <f t="shared" si="46"/>
        <v>2.7082832170635877E-5</v>
      </c>
      <c r="L55" s="9">
        <f t="shared" si="47"/>
        <v>92751225604224.75</v>
      </c>
      <c r="M55" s="6">
        <f t="shared" si="41"/>
        <v>1941136610383132.7</v>
      </c>
      <c r="N55" s="2">
        <f t="shared" si="42"/>
        <v>11.111111111111111</v>
      </c>
      <c r="O55" s="12">
        <v>900</v>
      </c>
      <c r="P55" s="13"/>
      <c r="Q55" s="20">
        <f t="shared" si="43"/>
        <v>49942485239.04422</v>
      </c>
      <c r="R55" s="20"/>
      <c r="S55" s="6"/>
    </row>
    <row r="56" spans="4:44" ht="15.75">
      <c r="D56" s="2">
        <f t="shared" si="36"/>
        <v>0.95231373142961384</v>
      </c>
      <c r="E56" s="2">
        <f t="shared" si="37"/>
        <v>-2.1219953524423463E-2</v>
      </c>
      <c r="F56" s="2">
        <f t="shared" si="38"/>
        <v>-3.6635849398792044</v>
      </c>
      <c r="G56" s="6">
        <f t="shared" si="39"/>
        <v>4.291713743803665E-4</v>
      </c>
      <c r="H56" s="2">
        <f t="shared" si="44"/>
        <v>-0.29621568680955207</v>
      </c>
      <c r="I56" s="2">
        <f t="shared" si="40"/>
        <v>0.94672548918189381</v>
      </c>
      <c r="J56" s="4">
        <f t="shared" si="45"/>
        <v>0.7</v>
      </c>
      <c r="K56" s="8">
        <f t="shared" si="46"/>
        <v>2.4374548953572287E-5</v>
      </c>
      <c r="L56" s="9">
        <f t="shared" si="47"/>
        <v>97152270084712.828</v>
      </c>
      <c r="M56" s="6">
        <f t="shared" si="41"/>
        <v>1710594659858025.2</v>
      </c>
      <c r="N56" s="2">
        <f t="shared" si="42"/>
        <v>10</v>
      </c>
      <c r="O56" s="12">
        <v>1000</v>
      </c>
      <c r="P56" s="13"/>
      <c r="Q56" s="6">
        <f t="shared" si="43"/>
        <v>39689661915.980743</v>
      </c>
      <c r="R56" s="6"/>
    </row>
    <row r="57" spans="4:44" ht="15.75">
      <c r="D57" s="2">
        <f t="shared" si="36"/>
        <v>0.95381718096317225</v>
      </c>
      <c r="E57" s="2">
        <f t="shared" si="37"/>
        <v>-2.0534858951536512E-2</v>
      </c>
      <c r="F57" s="2">
        <f t="shared" si="38"/>
        <v>-3.7728616286969188</v>
      </c>
      <c r="G57" s="6">
        <f t="shared" si="39"/>
        <v>3.3369834912306049E-4</v>
      </c>
      <c r="H57" s="2">
        <f t="shared" si="44"/>
        <v>-0.29621568680955207</v>
      </c>
      <c r="I57" s="2">
        <f t="shared" si="40"/>
        <v>0.94672548918189381</v>
      </c>
      <c r="J57" s="4">
        <f t="shared" si="45"/>
        <v>0.7</v>
      </c>
      <c r="K57" s="8">
        <f t="shared" si="46"/>
        <v>2.21586808668839E-5</v>
      </c>
      <c r="L57" s="9">
        <f t="shared" si="47"/>
        <v>101313130365237.22</v>
      </c>
      <c r="M57" s="6">
        <f t="shared" si="41"/>
        <v>1525723690433896.2</v>
      </c>
      <c r="N57" s="2">
        <f t="shared" si="42"/>
        <v>9.0909090909090917</v>
      </c>
      <c r="O57" s="12">
        <v>1100</v>
      </c>
      <c r="P57" s="13"/>
      <c r="Q57" s="6">
        <f t="shared" si="43"/>
        <v>32235917404.5215</v>
      </c>
      <c r="R57" s="6"/>
    </row>
    <row r="58" spans="4:44" ht="15.75">
      <c r="D58" s="2">
        <f t="shared" si="36"/>
        <v>0.95510671151913173</v>
      </c>
      <c r="E58" s="2">
        <f t="shared" si="37"/>
        <v>-1.9948103144149066E-2</v>
      </c>
      <c r="F58" s="2">
        <f t="shared" si="38"/>
        <v>-3.8726234294449347</v>
      </c>
      <c r="G58" s="6">
        <f t="shared" si="39"/>
        <v>2.6521144229867561E-4</v>
      </c>
      <c r="H58" s="2">
        <f t="shared" si="44"/>
        <v>-0.29621568680955207</v>
      </c>
      <c r="I58" s="2">
        <f t="shared" si="40"/>
        <v>0.94672548918189381</v>
      </c>
      <c r="J58" s="4">
        <f t="shared" si="45"/>
        <v>0.7</v>
      </c>
      <c r="K58" s="8">
        <f t="shared" si="46"/>
        <v>2.0312124127976908E-5</v>
      </c>
      <c r="L58" s="9">
        <f t="shared" si="47"/>
        <v>105267110281052.58</v>
      </c>
      <c r="M58" s="6">
        <f t="shared" si="41"/>
        <v>1374452123685025</v>
      </c>
      <c r="N58" s="2">
        <f t="shared" si="42"/>
        <v>8.3333333333333339</v>
      </c>
      <c r="O58" s="12">
        <v>1200</v>
      </c>
      <c r="P58" s="13"/>
      <c r="Q58" s="6">
        <f t="shared" si="43"/>
        <v>26657639513.425133</v>
      </c>
      <c r="R58" s="6"/>
    </row>
    <row r="59" spans="4:44" ht="15.75">
      <c r="D59" s="2">
        <f t="shared" si="36"/>
        <v>0.95622848583742315</v>
      </c>
      <c r="E59" s="2">
        <f t="shared" si="37"/>
        <v>-1.9438322909906127E-2</v>
      </c>
      <c r="F59" s="2">
        <f t="shared" si="38"/>
        <v>-3.9643953899692534</v>
      </c>
      <c r="G59" s="6">
        <f t="shared" si="39"/>
        <v>2.1469419247804598E-4</v>
      </c>
      <c r="H59" s="2">
        <f t="shared" si="44"/>
        <v>-0.29621568680955207</v>
      </c>
      <c r="I59" s="2">
        <f t="shared" si="40"/>
        <v>0.94672548918189381</v>
      </c>
      <c r="J59" s="4">
        <f t="shared" si="45"/>
        <v>0.7</v>
      </c>
      <c r="K59" s="8">
        <f t="shared" si="46"/>
        <v>1.8749653041209453E-5</v>
      </c>
      <c r="L59" s="9">
        <f t="shared" si="47"/>
        <v>109040548617475.11</v>
      </c>
      <c r="M59" s="6">
        <f t="shared" si="41"/>
        <v>1248576305990238</v>
      </c>
      <c r="N59" s="2">
        <f t="shared" si="42"/>
        <v>7.6923076923076925</v>
      </c>
      <c r="O59" s="12">
        <v>1300</v>
      </c>
      <c r="P59" s="13"/>
      <c r="Q59" s="6">
        <f>L59/(1+L59/M59/K59)*D59</f>
        <v>22380860039.248539</v>
      </c>
      <c r="R59" s="6"/>
    </row>
    <row r="60" spans="4:44" ht="15.75">
      <c r="D60" s="2">
        <f>10^E60</f>
        <v>0.95809381862063958</v>
      </c>
      <c r="E60" s="2">
        <f>LOG(J60)/(1+(F60/(I60-0.14*F60))^2)</f>
        <v>-1.8591961783393406E-2</v>
      </c>
      <c r="F60" s="2">
        <f>LOG(G60)+H60</f>
        <v>-4.1284658637862028</v>
      </c>
      <c r="G60" s="6">
        <f>M60*K60/L60</f>
        <v>1.471464615492383E-4</v>
      </c>
      <c r="H60" s="2">
        <f>-0.4-0.67*LOG(J60)</f>
        <v>-0.29621568680955207</v>
      </c>
      <c r="I60" s="2">
        <f>0.75-1.27*LOG(J60)</f>
        <v>0.94672548918189381</v>
      </c>
      <c r="J60" s="4">
        <f t="shared" si="45"/>
        <v>0.7</v>
      </c>
      <c r="K60" s="8">
        <f t="shared" si="46"/>
        <v>1.6249699302381525E-5</v>
      </c>
      <c r="L60" s="9">
        <f t="shared" si="47"/>
        <v>116126973303923.45</v>
      </c>
      <c r="M60" s="6">
        <f>$B$7*O60^$B$8*EXP(-$B$9/1.987/O60)</f>
        <v>1051568579462320.1</v>
      </c>
      <c r="N60" s="2">
        <f>10000/O60</f>
        <v>6.666666666666667</v>
      </c>
      <c r="O60" s="12">
        <v>1500</v>
      </c>
      <c r="P60" s="13"/>
      <c r="Q60" s="6">
        <f>L60/(1+L60/M60/K60)*D60</f>
        <v>16369185411.406164</v>
      </c>
      <c r="R60" s="6"/>
    </row>
    <row r="61" spans="4:44" ht="15.75">
      <c r="D61" s="2">
        <f>10^E61</f>
        <v>0.96023915451733</v>
      </c>
      <c r="E61" s="2">
        <f>LOG(J61)/(1+(F61/(I61-0.14*F61))^2)</f>
        <v>-1.7620589301944298E-2</v>
      </c>
      <c r="F61" s="2">
        <f>LOG(G61)+H61</f>
        <v>-4.3375043533519335</v>
      </c>
      <c r="G61" s="6">
        <f>M61*K61/L61</f>
        <v>9.0930867309041546E-5</v>
      </c>
      <c r="H61" s="2">
        <f>-0.4-0.67*LOG(J61)</f>
        <v>-0.29621568680955207</v>
      </c>
      <c r="I61" s="2">
        <f>0.75-1.27*LOG(J61)</f>
        <v>0.94672548918189381</v>
      </c>
      <c r="J61" s="4">
        <f t="shared" si="45"/>
        <v>0.7</v>
      </c>
      <c r="K61" s="8">
        <f t="shared" si="46"/>
        <v>1.3541416085317938E-5</v>
      </c>
      <c r="L61" s="9">
        <f t="shared" si="47"/>
        <v>125826714030766.56</v>
      </c>
      <c r="M61" s="6">
        <f>$B$7*O61^$B$8*EXP(-$B$9/1.987/O61)</f>
        <v>844928784801882.5</v>
      </c>
      <c r="N61" s="2">
        <f>10000/O61</f>
        <v>5.5555555555555554</v>
      </c>
      <c r="O61" s="12">
        <v>1800</v>
      </c>
      <c r="P61" s="13"/>
      <c r="Q61" s="6">
        <f>L61/(1+L61/M61/K61)*D61</f>
        <v>10985608311.19389</v>
      </c>
      <c r="R61" s="6"/>
    </row>
    <row r="62" spans="4:44">
      <c r="D62" s="2" t="s">
        <v>4</v>
      </c>
      <c r="E62" s="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P62">
        <v>3800</v>
      </c>
      <c r="Q62" t="s">
        <v>16</v>
      </c>
      <c r="R62" t="s">
        <v>47</v>
      </c>
    </row>
    <row r="63" spans="4:44" ht="15.75">
      <c r="D63" s="2">
        <f t="shared" ref="D63:D73" si="48">10^E63</f>
        <v>0.90109721734900428</v>
      </c>
      <c r="E63" s="2">
        <f t="shared" ref="E63:E73" si="49">LOG(J63)/(1+(F63/(I63-0.14*F63))^2)</f>
        <v>-4.5228351439834009E-2</v>
      </c>
      <c r="F63" s="2">
        <f t="shared" ref="F63:F73" si="50">LOG(G63)+H63</f>
        <v>-1.8852450436670758</v>
      </c>
      <c r="G63" s="6">
        <f t="shared" ref="G63:G73" si="51">M63*K63/L63</f>
        <v>2.5761470121766755E-2</v>
      </c>
      <c r="H63" s="2">
        <f>-0.4-0.67*LOG(J63)</f>
        <v>-0.29621568680955207</v>
      </c>
      <c r="I63" s="2">
        <f t="shared" ref="I63:I73" si="52">0.75-1.27*LOG(J63)</f>
        <v>0.94672548918189381</v>
      </c>
      <c r="J63" s="4">
        <f>(1-$B$10)*EXP(-O63/$B$11)+$B$10*EXP(-O63/$B$12)+EXP(-B$13/O63)</f>
        <v>0.7</v>
      </c>
      <c r="K63" s="8">
        <f>$P$62*101325/760/8.314/O63/1000000</f>
        <v>2.0312124127976907E-4</v>
      </c>
      <c r="L63" s="9">
        <f>B$4*O63^B$5*EXP(-B$6/1.987/O63)</f>
        <v>57198719309897.531</v>
      </c>
      <c r="M63" s="6">
        <f t="shared" ref="M63:M73" si="53">$B$7*O63^$B$8*EXP(-$B$9/1.987/O63)</f>
        <v>7254401800723988</v>
      </c>
      <c r="N63" s="2">
        <f t="shared" ref="N63:N73" si="54">10000/O63</f>
        <v>33.333333333333336</v>
      </c>
      <c r="O63" s="12">
        <v>300</v>
      </c>
      <c r="P63" s="13"/>
      <c r="Q63" s="20">
        <f t="shared" ref="Q63:Q73" si="55">L63/(1+L63/M63/K63)*D63</f>
        <v>1294440864117.2124</v>
      </c>
      <c r="R63" s="20"/>
      <c r="S63" s="6"/>
    </row>
    <row r="64" spans="4:44" ht="15.75">
      <c r="D64" s="2">
        <f t="shared" si="48"/>
        <v>0.91680210120447747</v>
      </c>
      <c r="E64" s="2">
        <f t="shared" si="49"/>
        <v>-3.7724400022775759E-2</v>
      </c>
      <c r="F64" s="2">
        <f t="shared" si="50"/>
        <v>-2.2150833083129879</v>
      </c>
      <c r="G64" s="6">
        <f t="shared" si="51"/>
        <v>1.2054033066801549E-2</v>
      </c>
      <c r="H64" s="2">
        <f t="shared" ref="H64:H73" si="56">-0.4-0.67*LOG(J64)</f>
        <v>-0.29621568680955207</v>
      </c>
      <c r="I64" s="2">
        <f t="shared" si="52"/>
        <v>0.94672548918189381</v>
      </c>
      <c r="J64" s="4">
        <f t="shared" ref="J64:J75" si="57">(1-$B$10)*EXP(-O64/$B$11)+$B$10*EXP(-O64/$B$12)+EXP(-B$13/O64)</f>
        <v>0.7</v>
      </c>
      <c r="K64" s="8">
        <f t="shared" ref="K64:K75" si="58">$P$62*101325/760/8.314/O64/1000000</f>
        <v>1.523409309598268E-4</v>
      </c>
      <c r="L64" s="9">
        <f t="shared" ref="L64:L75" si="59">B$4*O64^B$5*EXP(-B$6/1.987/O64)</f>
        <v>64917135642202.219</v>
      </c>
      <c r="M64" s="6">
        <f t="shared" si="53"/>
        <v>5136592606484073</v>
      </c>
      <c r="N64" s="2">
        <f t="shared" si="54"/>
        <v>25</v>
      </c>
      <c r="O64" s="12">
        <v>400</v>
      </c>
      <c r="P64" s="13"/>
      <c r="Q64" s="6">
        <f t="shared" si="55"/>
        <v>708865153326.02283</v>
      </c>
      <c r="R64" s="6"/>
    </row>
    <row r="65" spans="4:19" ht="15.75">
      <c r="D65" s="2">
        <f t="shared" si="48"/>
        <v>0.92622289168786376</v>
      </c>
      <c r="E65" s="2">
        <f t="shared" si="49"/>
        <v>-3.3284489579585852E-2</v>
      </c>
      <c r="F65" s="2">
        <f t="shared" si="50"/>
        <v>-2.4709257426542566</v>
      </c>
      <c r="G65" s="6">
        <f t="shared" si="51"/>
        <v>6.6879026704279448E-3</v>
      </c>
      <c r="H65" s="2">
        <f t="shared" si="56"/>
        <v>-0.29621568680955207</v>
      </c>
      <c r="I65" s="2">
        <f t="shared" si="52"/>
        <v>0.94672548918189381</v>
      </c>
      <c r="J65" s="4">
        <f t="shared" si="57"/>
        <v>0.7</v>
      </c>
      <c r="K65" s="8">
        <f t="shared" si="58"/>
        <v>1.2187274476786144E-4</v>
      </c>
      <c r="L65" s="9">
        <f t="shared" si="59"/>
        <v>71614300587921.641</v>
      </c>
      <c r="M65" s="6">
        <f t="shared" si="53"/>
        <v>3929914543691253</v>
      </c>
      <c r="N65" s="2">
        <f t="shared" si="54"/>
        <v>20</v>
      </c>
      <c r="O65" s="12">
        <v>500</v>
      </c>
      <c r="P65" s="13"/>
      <c r="Q65" s="6">
        <f t="shared" si="55"/>
        <v>440666828203.36133</v>
      </c>
      <c r="R65" s="6"/>
    </row>
    <row r="66" spans="4:19" ht="15.75">
      <c r="D66" s="2">
        <f t="shared" si="48"/>
        <v>0.93258153937256272</v>
      </c>
      <c r="E66" s="2">
        <f t="shared" si="49"/>
        <v>-3.0313185737606985E-2</v>
      </c>
      <c r="F66" s="2">
        <f t="shared" si="50"/>
        <v>-2.6799642322199864</v>
      </c>
      <c r="G66" s="6">
        <f t="shared" si="51"/>
        <v>4.1328672391960529E-3</v>
      </c>
      <c r="H66" s="2">
        <f t="shared" si="56"/>
        <v>-0.29621568680955207</v>
      </c>
      <c r="I66" s="2">
        <f t="shared" si="52"/>
        <v>0.94672548918189381</v>
      </c>
      <c r="J66" s="4">
        <f t="shared" si="57"/>
        <v>0.7</v>
      </c>
      <c r="K66" s="8">
        <f t="shared" si="58"/>
        <v>1.0156062063988453E-4</v>
      </c>
      <c r="L66" s="9">
        <f t="shared" si="59"/>
        <v>77596030140271.719</v>
      </c>
      <c r="M66" s="6">
        <f t="shared" si="53"/>
        <v>3157661786998342</v>
      </c>
      <c r="N66" s="2">
        <f t="shared" si="54"/>
        <v>16.666666666666668</v>
      </c>
      <c r="O66" s="12">
        <v>600</v>
      </c>
      <c r="P66" s="13"/>
      <c r="Q66" s="6">
        <f t="shared" si="55"/>
        <v>297842445634.40533</v>
      </c>
      <c r="R66" s="6"/>
    </row>
    <row r="67" spans="4:19" ht="15.75">
      <c r="D67" s="2">
        <f t="shared" si="48"/>
        <v>0.93720797346156648</v>
      </c>
      <c r="E67" s="2">
        <f t="shared" si="49"/>
        <v>-2.8164025222717159E-2</v>
      </c>
      <c r="F67" s="2">
        <f t="shared" si="50"/>
        <v>-2.856703756844805</v>
      </c>
      <c r="G67" s="6">
        <f t="shared" si="51"/>
        <v>2.7511351769726384E-3</v>
      </c>
      <c r="H67" s="2">
        <f t="shared" si="56"/>
        <v>-0.29621568680955207</v>
      </c>
      <c r="I67" s="2">
        <f t="shared" si="52"/>
        <v>0.94672548918189381</v>
      </c>
      <c r="J67" s="4">
        <f t="shared" si="57"/>
        <v>0.7</v>
      </c>
      <c r="K67" s="8">
        <f t="shared" si="58"/>
        <v>8.7051960548472444E-5</v>
      </c>
      <c r="L67" s="9">
        <f t="shared" si="59"/>
        <v>83041673073623.266</v>
      </c>
      <c r="M67" s="6">
        <f t="shared" si="53"/>
        <v>2624396584615640</v>
      </c>
      <c r="N67" s="2">
        <f t="shared" si="54"/>
        <v>14.285714285714286</v>
      </c>
      <c r="O67" s="12">
        <v>700</v>
      </c>
      <c r="P67" s="13"/>
      <c r="Q67" s="6">
        <f t="shared" si="55"/>
        <v>213526033665.98825</v>
      </c>
      <c r="R67" s="6"/>
    </row>
    <row r="68" spans="4:19" ht="15.75">
      <c r="D68" s="2">
        <f t="shared" si="48"/>
        <v>0.94075276959291532</v>
      </c>
      <c r="E68" s="2">
        <f t="shared" si="49"/>
        <v>-2.6524494435523283E-2</v>
      </c>
      <c r="F68" s="2">
        <f t="shared" si="50"/>
        <v>-3.0098024968658978</v>
      </c>
      <c r="G68" s="6">
        <f t="shared" si="51"/>
        <v>1.9338072760015897E-3</v>
      </c>
      <c r="H68" s="2">
        <f t="shared" si="56"/>
        <v>-0.29621568680955207</v>
      </c>
      <c r="I68" s="2">
        <f t="shared" si="52"/>
        <v>0.94672548918189381</v>
      </c>
      <c r="J68" s="4">
        <f t="shared" si="57"/>
        <v>0.7</v>
      </c>
      <c r="K68" s="8">
        <f t="shared" si="58"/>
        <v>7.6170465479913401E-5</v>
      </c>
      <c r="L68" s="9">
        <f t="shared" si="59"/>
        <v>88066867137719.016</v>
      </c>
      <c r="M68" s="6">
        <f t="shared" si="53"/>
        <v>2235831793498709.7</v>
      </c>
      <c r="N68" s="2">
        <f t="shared" si="54"/>
        <v>12.5</v>
      </c>
      <c r="O68" s="12">
        <v>800</v>
      </c>
      <c r="P68" s="13"/>
      <c r="Q68" s="6">
        <f t="shared" si="55"/>
        <v>159905061901.7272</v>
      </c>
      <c r="R68" s="6"/>
    </row>
    <row r="69" spans="4:19" ht="15.75">
      <c r="D69" s="2">
        <f t="shared" si="48"/>
        <v>0.94357312557999717</v>
      </c>
      <c r="E69" s="2">
        <f t="shared" si="49"/>
        <v>-2.5224436987925751E-2</v>
      </c>
      <c r="F69" s="2">
        <f t="shared" si="50"/>
        <v>-3.1448451561269852</v>
      </c>
      <c r="G69" s="6">
        <f t="shared" si="51"/>
        <v>1.4170022201002806E-3</v>
      </c>
      <c r="H69" s="2">
        <f t="shared" si="56"/>
        <v>-0.29621568680955207</v>
      </c>
      <c r="I69" s="2">
        <f t="shared" si="52"/>
        <v>0.94672548918189381</v>
      </c>
      <c r="J69" s="4">
        <f t="shared" si="57"/>
        <v>0.7</v>
      </c>
      <c r="K69" s="8">
        <f t="shared" si="58"/>
        <v>6.7707080426589685E-5</v>
      </c>
      <c r="L69" s="9">
        <f t="shared" si="59"/>
        <v>92751225604224.75</v>
      </c>
      <c r="M69" s="6">
        <f t="shared" si="53"/>
        <v>1941136610383132.7</v>
      </c>
      <c r="N69" s="2">
        <f t="shared" si="54"/>
        <v>11.111111111111111</v>
      </c>
      <c r="O69" s="12">
        <v>900</v>
      </c>
      <c r="P69" s="13"/>
      <c r="Q69" s="6">
        <f t="shared" si="55"/>
        <v>123837104813.3329</v>
      </c>
      <c r="R69" s="6"/>
    </row>
    <row r="70" spans="4:19" ht="15.75">
      <c r="D70" s="2">
        <f t="shared" si="48"/>
        <v>0.94588225298864648</v>
      </c>
      <c r="E70" s="2">
        <f t="shared" si="49"/>
        <v>-2.4162922858266014E-2</v>
      </c>
      <c r="F70" s="2">
        <f t="shared" si="50"/>
        <v>-3.2656449312071669</v>
      </c>
      <c r="G70" s="6">
        <f t="shared" si="51"/>
        <v>1.0729284359509163E-3</v>
      </c>
      <c r="H70" s="2">
        <f t="shared" si="56"/>
        <v>-0.29621568680955207</v>
      </c>
      <c r="I70" s="2">
        <f t="shared" si="52"/>
        <v>0.94672548918189381</v>
      </c>
      <c r="J70" s="4">
        <f t="shared" si="57"/>
        <v>0.7</v>
      </c>
      <c r="K70" s="8">
        <f t="shared" si="58"/>
        <v>6.0936372383930719E-5</v>
      </c>
      <c r="L70" s="9">
        <f t="shared" si="59"/>
        <v>97152270084712.828</v>
      </c>
      <c r="M70" s="6">
        <f t="shared" si="53"/>
        <v>1710594659858025.2</v>
      </c>
      <c r="N70" s="2">
        <f t="shared" si="54"/>
        <v>10</v>
      </c>
      <c r="O70" s="12">
        <v>1000</v>
      </c>
      <c r="P70" s="13"/>
      <c r="Q70" s="6">
        <f t="shared" si="55"/>
        <v>98490664717.673325</v>
      </c>
      <c r="R70" s="6"/>
    </row>
    <row r="71" spans="4:19" ht="15.75">
      <c r="D71" s="2">
        <f t="shared" si="48"/>
        <v>0.94781573222443216</v>
      </c>
      <c r="E71" s="2">
        <f t="shared" si="49"/>
        <v>-2.3276086983362681E-2</v>
      </c>
      <c r="F71" s="2">
        <f t="shared" si="50"/>
        <v>-3.3749216200248813</v>
      </c>
      <c r="G71" s="6">
        <f t="shared" si="51"/>
        <v>8.3424587280765119E-4</v>
      </c>
      <c r="H71" s="2">
        <f t="shared" si="56"/>
        <v>-0.29621568680955207</v>
      </c>
      <c r="I71" s="2">
        <f t="shared" si="52"/>
        <v>0.94672548918189381</v>
      </c>
      <c r="J71" s="4">
        <f t="shared" si="57"/>
        <v>0.7</v>
      </c>
      <c r="K71" s="8">
        <f t="shared" si="58"/>
        <v>5.5396702167209748E-5</v>
      </c>
      <c r="L71" s="9">
        <f t="shared" si="59"/>
        <v>101313130365237.22</v>
      </c>
      <c r="M71" s="6">
        <f t="shared" si="53"/>
        <v>1525723690433896.2</v>
      </c>
      <c r="N71" s="2">
        <f t="shared" si="54"/>
        <v>9.0909090909090917</v>
      </c>
      <c r="O71" s="12">
        <v>1100</v>
      </c>
      <c r="P71" s="13"/>
      <c r="Q71" s="6">
        <f t="shared" si="55"/>
        <v>80042668114.134888</v>
      </c>
      <c r="R71" s="6"/>
    </row>
    <row r="72" spans="4:19" ht="15.75">
      <c r="D72" s="2">
        <f t="shared" si="48"/>
        <v>0.94946416139810241</v>
      </c>
      <c r="E72" s="2">
        <f t="shared" si="49"/>
        <v>-2.2521423555493927E-2</v>
      </c>
      <c r="F72" s="2">
        <f t="shared" si="50"/>
        <v>-3.4746834207728972</v>
      </c>
      <c r="G72" s="6">
        <f t="shared" si="51"/>
        <v>6.63028605746689E-4</v>
      </c>
      <c r="H72" s="2">
        <f t="shared" si="56"/>
        <v>-0.29621568680955207</v>
      </c>
      <c r="I72" s="2">
        <f t="shared" si="52"/>
        <v>0.94672548918189381</v>
      </c>
      <c r="J72" s="4">
        <f t="shared" si="57"/>
        <v>0.7</v>
      </c>
      <c r="K72" s="8">
        <f t="shared" si="58"/>
        <v>5.0780310319942267E-5</v>
      </c>
      <c r="L72" s="9">
        <f t="shared" si="59"/>
        <v>105267110281052.58</v>
      </c>
      <c r="M72" s="6">
        <f t="shared" si="53"/>
        <v>1374452123685025</v>
      </c>
      <c r="N72" s="2">
        <f t="shared" si="54"/>
        <v>8.3333333333333339</v>
      </c>
      <c r="O72" s="12">
        <v>1200</v>
      </c>
      <c r="P72" s="13"/>
      <c r="Q72" s="6">
        <f t="shared" si="55"/>
        <v>66224042746.193115</v>
      </c>
      <c r="R72" s="6"/>
    </row>
    <row r="73" spans="4:19" ht="15.75">
      <c r="D73" s="2">
        <f t="shared" si="48"/>
        <v>0.95089054481839663</v>
      </c>
      <c r="E73" s="2">
        <f t="shared" si="49"/>
        <v>-2.1869470988093179E-2</v>
      </c>
      <c r="F73" s="2">
        <f t="shared" si="50"/>
        <v>-3.566455381297216</v>
      </c>
      <c r="G73" s="6">
        <f t="shared" si="51"/>
        <v>5.3673548119511489E-4</v>
      </c>
      <c r="H73" s="2">
        <f t="shared" si="56"/>
        <v>-0.29621568680955207</v>
      </c>
      <c r="I73" s="2">
        <f t="shared" si="52"/>
        <v>0.94672548918189381</v>
      </c>
      <c r="J73" s="4">
        <f t="shared" si="57"/>
        <v>0.7</v>
      </c>
      <c r="K73" s="8">
        <f t="shared" si="58"/>
        <v>4.6874132603023633E-5</v>
      </c>
      <c r="L73" s="9">
        <f t="shared" si="59"/>
        <v>109040548617475.11</v>
      </c>
      <c r="M73" s="6">
        <f t="shared" si="53"/>
        <v>1248576305990238</v>
      </c>
      <c r="N73" s="2">
        <f t="shared" si="54"/>
        <v>7.6923076923076925</v>
      </c>
      <c r="O73" s="12">
        <v>1300</v>
      </c>
      <c r="P73" s="13"/>
      <c r="Q73" s="6">
        <f t="shared" si="55"/>
        <v>55621900482.749771</v>
      </c>
      <c r="R73" s="6"/>
    </row>
    <row r="74" spans="4:19" ht="15.75">
      <c r="D74" s="2">
        <f>10^E74</f>
        <v>0.95324644168024808</v>
      </c>
      <c r="E74" s="2">
        <f>LOG(J74)/(1+(F74/(I74-0.14*F74))^2)</f>
        <v>-2.0794807204585417E-2</v>
      </c>
      <c r="F74" s="2">
        <f>LOG(G74)+H74</f>
        <v>-3.7305258551141653</v>
      </c>
      <c r="G74" s="6">
        <f>M74*K74/L74</f>
        <v>3.678661538730958E-4</v>
      </c>
      <c r="H74" s="2">
        <f>-0.4-0.67*LOG(J74)</f>
        <v>-0.29621568680955207</v>
      </c>
      <c r="I74" s="2">
        <f>0.75-1.27*LOG(J74)</f>
        <v>0.94672548918189381</v>
      </c>
      <c r="J74" s="4">
        <f t="shared" si="57"/>
        <v>0.7</v>
      </c>
      <c r="K74" s="8">
        <f t="shared" si="58"/>
        <v>4.0624248255953815E-5</v>
      </c>
      <c r="L74" s="9">
        <f t="shared" si="59"/>
        <v>116126973303923.45</v>
      </c>
      <c r="M74" s="6">
        <f>$B$7*O74^$B$8*EXP(-$B$9/1.987/O74)</f>
        <v>1051568579462320.1</v>
      </c>
      <c r="N74" s="2">
        <f>10000/O74</f>
        <v>6.666666666666667</v>
      </c>
      <c r="O74" s="12">
        <v>1500</v>
      </c>
      <c r="P74" s="13"/>
      <c r="Q74" s="6">
        <f>L74/(1+L74/M74/K74)*D74</f>
        <v>40706934511.626839</v>
      </c>
      <c r="R74" s="6"/>
    </row>
    <row r="75" spans="4:19" ht="15.75">
      <c r="D75" s="2">
        <f>10^E75</f>
        <v>0.95593079293590522</v>
      </c>
      <c r="E75" s="2">
        <f>LOG(J75)/(1+(F75/(I75-0.14*F75))^2)</f>
        <v>-1.95735484498606E-2</v>
      </c>
      <c r="F75" s="2">
        <f>LOG(G75)+H75</f>
        <v>-3.9395643446798956</v>
      </c>
      <c r="G75" s="6">
        <f>M75*K75/L75</f>
        <v>2.2732716827260385E-4</v>
      </c>
      <c r="H75" s="2">
        <f>-0.4-0.67*LOG(J75)</f>
        <v>-0.29621568680955207</v>
      </c>
      <c r="I75" s="2">
        <f>0.75-1.27*LOG(J75)</f>
        <v>0.94672548918189381</v>
      </c>
      <c r="J75" s="4">
        <f t="shared" si="57"/>
        <v>0.7</v>
      </c>
      <c r="K75" s="8">
        <f t="shared" si="58"/>
        <v>3.3853540213294842E-5</v>
      </c>
      <c r="L75" s="9">
        <f t="shared" si="59"/>
        <v>125826714030766.56</v>
      </c>
      <c r="M75" s="6">
        <f>$B$7*O75^$B$8*EXP(-$B$9/1.987/O75)</f>
        <v>844928784801882.5</v>
      </c>
      <c r="N75" s="2">
        <f>10000/O75</f>
        <v>5.5555555555555554</v>
      </c>
      <c r="O75" s="12">
        <v>1800</v>
      </c>
      <c r="P75" s="13"/>
      <c r="Q75" s="6">
        <f>L75/(1+L75/M75/K75)*D75</f>
        <v>27337068002.144741</v>
      </c>
      <c r="R75" s="6"/>
    </row>
    <row r="76" spans="4:19">
      <c r="D76" s="2" t="s">
        <v>4</v>
      </c>
      <c r="E76" s="2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13</v>
      </c>
      <c r="N76" s="2" t="s">
        <v>14</v>
      </c>
      <c r="P76">
        <f>760*10</f>
        <v>7600</v>
      </c>
      <c r="Q76" s="6" t="s">
        <v>16</v>
      </c>
      <c r="R76" t="s">
        <v>48</v>
      </c>
    </row>
    <row r="77" spans="4:19" ht="15.75">
      <c r="D77" s="2">
        <f t="shared" ref="D77:D87" si="60">10^E77</f>
        <v>0.88190080025975504</v>
      </c>
      <c r="E77" s="2">
        <f t="shared" ref="E77:E87" si="61">LOG(J77)/(1+(F77/(I77-0.14*F77))^2)</f>
        <v>-5.4580263306634069E-2</v>
      </c>
      <c r="F77" s="2">
        <f t="shared" ref="F77:F87" si="62">LOG(G77)+H77</f>
        <v>-1.5842150480030945</v>
      </c>
      <c r="G77" s="6">
        <f t="shared" ref="G77:G87" si="63">M77*K77/L77</f>
        <v>5.1522940243533509E-2</v>
      </c>
      <c r="H77" s="2">
        <f>-0.4-0.67*LOG(J77)</f>
        <v>-0.29621568680955207</v>
      </c>
      <c r="I77" s="2">
        <f t="shared" ref="I77:I87" si="64">0.75-1.27*LOG(J77)</f>
        <v>0.94672548918189381</v>
      </c>
      <c r="J77" s="4">
        <f>(1-$B$10)*EXP(-O77/$B$11)+$B$10*EXP(-O77/$B$12)+EXP(-B$13/O77)</f>
        <v>0.7</v>
      </c>
      <c r="K77" s="8">
        <f>$P$76*101325/760/8.314/O77/1000000</f>
        <v>4.0624248255953814E-4</v>
      </c>
      <c r="L77" s="9">
        <f>B$4*O77^B$5*EXP(-B$6/1.987/O77)</f>
        <v>57198719309897.531</v>
      </c>
      <c r="M77" s="6">
        <f t="shared" ref="M77:M87" si="65">$B$7*O77^$B$8*EXP(-$B$9/1.987/O77)</f>
        <v>7254401800723988</v>
      </c>
      <c r="N77" s="2">
        <f t="shared" ref="N77:N87" si="66">10000/O77</f>
        <v>33.333333333333336</v>
      </c>
      <c r="O77" s="12">
        <v>300</v>
      </c>
      <c r="P77" s="13"/>
      <c r="Q77" s="6">
        <f t="shared" ref="Q77:Q87" si="67">L77/(1+L77/M77/K77)*D77</f>
        <v>2471655443811.8999</v>
      </c>
      <c r="R77" s="6"/>
    </row>
    <row r="78" spans="4:19" ht="15.75">
      <c r="D78" s="2">
        <f t="shared" si="60"/>
        <v>0.90266407643377655</v>
      </c>
      <c r="E78" s="2">
        <f t="shared" si="61"/>
        <v>-4.4473840931221545E-2</v>
      </c>
      <c r="F78" s="2">
        <f t="shared" si="62"/>
        <v>-1.9140533126490067</v>
      </c>
      <c r="G78" s="6">
        <f t="shared" si="63"/>
        <v>2.4108066133603098E-2</v>
      </c>
      <c r="H78" s="2">
        <f t="shared" ref="H78:H87" si="68">-0.4-0.67*LOG(J78)</f>
        <v>-0.29621568680955207</v>
      </c>
      <c r="I78" s="2">
        <f t="shared" si="64"/>
        <v>0.94672548918189381</v>
      </c>
      <c r="J78" s="4">
        <f t="shared" ref="J78:J89" si="69">(1-$B$10)*EXP(-O78/$B$11)+$B$10*EXP(-O78/$B$12)+EXP(-B$13/O78)</f>
        <v>0.7</v>
      </c>
      <c r="K78" s="8">
        <f t="shared" ref="K78:K89" si="70">$P$76*101325/760/8.314/O78/1000000</f>
        <v>3.046818619196536E-4</v>
      </c>
      <c r="L78" s="9">
        <f t="shared" ref="L78:L89" si="71">B$4*O78^B$5*EXP(-B$6/1.987/O78)</f>
        <v>64917135642202.219</v>
      </c>
      <c r="M78" s="6">
        <f t="shared" si="65"/>
        <v>5136592606484073</v>
      </c>
      <c r="N78" s="2">
        <f t="shared" si="66"/>
        <v>25</v>
      </c>
      <c r="O78" s="12">
        <v>400</v>
      </c>
      <c r="P78" s="13"/>
      <c r="Q78" s="20">
        <f t="shared" si="67"/>
        <v>1379437714180.3569</v>
      </c>
      <c r="R78" s="20"/>
      <c r="S78" s="6"/>
    </row>
    <row r="79" spans="4:19" ht="15.75">
      <c r="D79" s="2">
        <f t="shared" si="60"/>
        <v>0.91491380475292705</v>
      </c>
      <c r="E79" s="2">
        <f t="shared" si="61"/>
        <v>-3.8619819467402935E-2</v>
      </c>
      <c r="F79" s="2">
        <f t="shared" si="62"/>
        <v>-2.1698957469902758</v>
      </c>
      <c r="G79" s="6">
        <f t="shared" si="63"/>
        <v>1.337580534085589E-2</v>
      </c>
      <c r="H79" s="2">
        <f t="shared" si="68"/>
        <v>-0.29621568680955207</v>
      </c>
      <c r="I79" s="2">
        <f t="shared" si="64"/>
        <v>0.94672548918189381</v>
      </c>
      <c r="J79" s="4">
        <f t="shared" si="69"/>
        <v>0.7</v>
      </c>
      <c r="K79" s="8">
        <f t="shared" si="70"/>
        <v>2.4374548953572288E-4</v>
      </c>
      <c r="L79" s="9">
        <f t="shared" si="71"/>
        <v>71614300587921.641</v>
      </c>
      <c r="M79" s="6">
        <f t="shared" si="65"/>
        <v>3929914543691253</v>
      </c>
      <c r="N79" s="2">
        <f t="shared" si="66"/>
        <v>20</v>
      </c>
      <c r="O79" s="12">
        <v>500</v>
      </c>
      <c r="P79" s="13"/>
      <c r="Q79" s="6">
        <f t="shared" si="67"/>
        <v>864827207306.72266</v>
      </c>
      <c r="R79" s="6"/>
    </row>
    <row r="80" spans="4:19" ht="15.75">
      <c r="D80" s="2">
        <f t="shared" si="60"/>
        <v>0.92306580486596856</v>
      </c>
      <c r="E80" s="2">
        <f t="shared" si="61"/>
        <v>-3.4767337249853307E-2</v>
      </c>
      <c r="F80" s="2">
        <f t="shared" si="62"/>
        <v>-2.3789342365560051</v>
      </c>
      <c r="G80" s="6">
        <f t="shared" si="63"/>
        <v>8.2657344783921057E-3</v>
      </c>
      <c r="H80" s="2">
        <f t="shared" si="68"/>
        <v>-0.29621568680955207</v>
      </c>
      <c r="I80" s="2">
        <f t="shared" si="64"/>
        <v>0.94672548918189381</v>
      </c>
      <c r="J80" s="4">
        <f t="shared" si="69"/>
        <v>0.7</v>
      </c>
      <c r="K80" s="8">
        <f t="shared" si="70"/>
        <v>2.0312124127976907E-4</v>
      </c>
      <c r="L80" s="9">
        <f t="shared" si="71"/>
        <v>77596030140271.719</v>
      </c>
      <c r="M80" s="6">
        <f t="shared" si="65"/>
        <v>3157661786998342</v>
      </c>
      <c r="N80" s="2">
        <f t="shared" si="66"/>
        <v>16.666666666666668</v>
      </c>
      <c r="O80" s="12">
        <v>600</v>
      </c>
      <c r="P80" s="13"/>
      <c r="Q80" s="6">
        <f t="shared" si="67"/>
        <v>587189942038.66125</v>
      </c>
      <c r="R80" s="6"/>
      <c r="S80" s="6"/>
    </row>
    <row r="81" spans="4:19" ht="15.75">
      <c r="D81" s="2">
        <f t="shared" si="60"/>
        <v>0.92892894463442832</v>
      </c>
      <c r="E81" s="2">
        <f t="shared" si="61"/>
        <v>-3.2017504664457734E-2</v>
      </c>
      <c r="F81" s="2">
        <f t="shared" si="62"/>
        <v>-2.5556737611808238</v>
      </c>
      <c r="G81" s="6">
        <f t="shared" si="63"/>
        <v>5.5022703539452768E-3</v>
      </c>
      <c r="H81" s="2">
        <f t="shared" si="68"/>
        <v>-0.29621568680955207</v>
      </c>
      <c r="I81" s="2">
        <f t="shared" si="64"/>
        <v>0.94672548918189381</v>
      </c>
      <c r="J81" s="4">
        <f t="shared" si="69"/>
        <v>0.7</v>
      </c>
      <c r="K81" s="8">
        <f t="shared" si="70"/>
        <v>1.7410392109694489E-4</v>
      </c>
      <c r="L81" s="9">
        <f t="shared" si="71"/>
        <v>83041673073623.266</v>
      </c>
      <c r="M81" s="6">
        <f t="shared" si="65"/>
        <v>2624396584615640</v>
      </c>
      <c r="N81" s="2">
        <f t="shared" si="66"/>
        <v>14.285714285714286</v>
      </c>
      <c r="O81" s="12">
        <v>700</v>
      </c>
      <c r="P81" s="13"/>
      <c r="Q81" s="6">
        <f t="shared" si="67"/>
        <v>422121483664.37695</v>
      </c>
      <c r="R81" s="6"/>
    </row>
    <row r="82" spans="4:19" ht="15.75">
      <c r="D82" s="2">
        <f t="shared" si="60"/>
        <v>0.93337874353423833</v>
      </c>
      <c r="E82" s="2">
        <f t="shared" si="61"/>
        <v>-2.9942093820375021E-2</v>
      </c>
      <c r="F82" s="2">
        <f t="shared" si="62"/>
        <v>-2.7087725012019166</v>
      </c>
      <c r="G82" s="6">
        <f t="shared" si="63"/>
        <v>3.8676145520031794E-3</v>
      </c>
      <c r="H82" s="2">
        <f t="shared" si="68"/>
        <v>-0.29621568680955207</v>
      </c>
      <c r="I82" s="2">
        <f t="shared" si="64"/>
        <v>0.94672548918189381</v>
      </c>
      <c r="J82" s="4">
        <f t="shared" si="69"/>
        <v>0.7</v>
      </c>
      <c r="K82" s="8">
        <f t="shared" si="70"/>
        <v>1.523409309598268E-4</v>
      </c>
      <c r="L82" s="9">
        <f t="shared" si="71"/>
        <v>88066867137719.016</v>
      </c>
      <c r="M82" s="6">
        <f t="shared" si="65"/>
        <v>2235831793498709.7</v>
      </c>
      <c r="N82" s="2">
        <f t="shared" si="66"/>
        <v>12.5</v>
      </c>
      <c r="O82" s="12">
        <v>800</v>
      </c>
      <c r="P82" s="13"/>
      <c r="Q82" s="6">
        <f t="shared" si="67"/>
        <v>316692074664.63995</v>
      </c>
      <c r="R82" s="6"/>
    </row>
    <row r="83" spans="4:19" ht="15.75">
      <c r="D83" s="2">
        <f t="shared" si="60"/>
        <v>0.93689100989054008</v>
      </c>
      <c r="E83" s="2">
        <f t="shared" si="61"/>
        <v>-2.8310928382471717E-2</v>
      </c>
      <c r="F83" s="2">
        <f t="shared" si="62"/>
        <v>-2.843815160463004</v>
      </c>
      <c r="G83" s="6">
        <f t="shared" si="63"/>
        <v>2.8340044402005611E-3</v>
      </c>
      <c r="H83" s="2">
        <f t="shared" si="68"/>
        <v>-0.29621568680955207</v>
      </c>
      <c r="I83" s="2">
        <f t="shared" si="64"/>
        <v>0.94672548918189381</v>
      </c>
      <c r="J83" s="4">
        <f t="shared" si="69"/>
        <v>0.7</v>
      </c>
      <c r="K83" s="8">
        <f t="shared" si="70"/>
        <v>1.3541416085317937E-4</v>
      </c>
      <c r="L83" s="9">
        <f t="shared" si="71"/>
        <v>92751225604224.75</v>
      </c>
      <c r="M83" s="6">
        <f t="shared" si="65"/>
        <v>1941136610383132.7</v>
      </c>
      <c r="N83" s="2">
        <f t="shared" si="66"/>
        <v>11.111111111111111</v>
      </c>
      <c r="O83" s="12">
        <v>900</v>
      </c>
      <c r="P83" s="13"/>
      <c r="Q83" s="6">
        <f t="shared" si="67"/>
        <v>245572766762.4606</v>
      </c>
      <c r="R83" s="6"/>
    </row>
    <row r="84" spans="4:19" ht="15.75">
      <c r="D84" s="2">
        <f t="shared" si="60"/>
        <v>0.93974714548298555</v>
      </c>
      <c r="E84" s="2">
        <f t="shared" si="61"/>
        <v>-2.6988984797837869E-2</v>
      </c>
      <c r="F84" s="2">
        <f t="shared" si="62"/>
        <v>-2.9646149355431857</v>
      </c>
      <c r="G84" s="6">
        <f t="shared" si="63"/>
        <v>2.1458568719018327E-3</v>
      </c>
      <c r="H84" s="2">
        <f t="shared" si="68"/>
        <v>-0.29621568680955207</v>
      </c>
      <c r="I84" s="2">
        <f t="shared" si="64"/>
        <v>0.94672548918189381</v>
      </c>
      <c r="J84" s="4">
        <f t="shared" si="69"/>
        <v>0.7</v>
      </c>
      <c r="K84" s="8">
        <f t="shared" si="70"/>
        <v>1.2187274476786144E-4</v>
      </c>
      <c r="L84" s="9">
        <f t="shared" si="71"/>
        <v>97152270084712.828</v>
      </c>
      <c r="M84" s="6">
        <f t="shared" si="65"/>
        <v>1710594659858025.2</v>
      </c>
      <c r="N84" s="2">
        <f t="shared" si="66"/>
        <v>10</v>
      </c>
      <c r="O84" s="12">
        <v>1000</v>
      </c>
      <c r="P84" s="13"/>
      <c r="Q84" s="6">
        <f t="shared" si="67"/>
        <v>195494158104.98029</v>
      </c>
      <c r="R84" s="6"/>
      <c r="S84" s="6"/>
    </row>
    <row r="85" spans="4:19" ht="15.75">
      <c r="D85" s="2">
        <f t="shared" si="60"/>
        <v>0.94212463244186084</v>
      </c>
      <c r="E85" s="2">
        <f t="shared" si="61"/>
        <v>-2.5891641154679748E-2</v>
      </c>
      <c r="F85" s="2">
        <f t="shared" si="62"/>
        <v>-3.0738916243609</v>
      </c>
      <c r="G85" s="6">
        <f t="shared" si="63"/>
        <v>1.6684917456153024E-3</v>
      </c>
      <c r="H85" s="2">
        <f t="shared" si="68"/>
        <v>-0.29621568680955207</v>
      </c>
      <c r="I85" s="2">
        <f t="shared" si="64"/>
        <v>0.94672548918189381</v>
      </c>
      <c r="J85" s="4">
        <f t="shared" si="69"/>
        <v>0.7</v>
      </c>
      <c r="K85" s="8">
        <f t="shared" si="70"/>
        <v>1.107934043344195E-4</v>
      </c>
      <c r="L85" s="9">
        <f t="shared" si="71"/>
        <v>101313130365237.22</v>
      </c>
      <c r="M85" s="6">
        <f t="shared" si="65"/>
        <v>1525723690433896.2</v>
      </c>
      <c r="N85" s="2">
        <f t="shared" si="66"/>
        <v>9.0909090909090917</v>
      </c>
      <c r="O85" s="12">
        <v>1100</v>
      </c>
      <c r="P85" s="13"/>
      <c r="Q85" s="6">
        <f t="shared" si="67"/>
        <v>158991586409.70596</v>
      </c>
      <c r="R85" s="6"/>
    </row>
    <row r="86" spans="4:19" ht="15.75">
      <c r="D86" s="2">
        <f t="shared" si="60"/>
        <v>0.94414120927016154</v>
      </c>
      <c r="E86" s="2">
        <f t="shared" si="61"/>
        <v>-2.4963046146323654E-2</v>
      </c>
      <c r="F86" s="2">
        <f t="shared" si="62"/>
        <v>-3.1736534251089159</v>
      </c>
      <c r="G86" s="6">
        <f t="shared" si="63"/>
        <v>1.326057211493378E-3</v>
      </c>
      <c r="H86" s="2">
        <f t="shared" si="68"/>
        <v>-0.29621568680955207</v>
      </c>
      <c r="I86" s="2">
        <f t="shared" si="64"/>
        <v>0.94672548918189381</v>
      </c>
      <c r="J86" s="4">
        <f t="shared" si="69"/>
        <v>0.7</v>
      </c>
      <c r="K86" s="8">
        <f t="shared" si="70"/>
        <v>1.0156062063988453E-4</v>
      </c>
      <c r="L86" s="9">
        <f t="shared" si="71"/>
        <v>105267110281052.58</v>
      </c>
      <c r="M86" s="6">
        <f t="shared" si="65"/>
        <v>1374452123685025</v>
      </c>
      <c r="N86" s="2">
        <f t="shared" si="66"/>
        <v>8.3333333333333339</v>
      </c>
      <c r="O86" s="12">
        <v>1200</v>
      </c>
      <c r="P86" s="13"/>
      <c r="Q86" s="6">
        <f t="shared" si="67"/>
        <v>131618336907.82425</v>
      </c>
      <c r="R86" s="6"/>
    </row>
    <row r="87" spans="4:19" ht="15.75">
      <c r="D87" s="2">
        <f t="shared" si="60"/>
        <v>0.94587822534246857</v>
      </c>
      <c r="E87" s="2">
        <f t="shared" si="61"/>
        <v>-2.4164772124629474E-2</v>
      </c>
      <c r="F87" s="2">
        <f t="shared" si="62"/>
        <v>-3.2654253856332347</v>
      </c>
      <c r="G87" s="6">
        <f t="shared" si="63"/>
        <v>1.0734709623902298E-3</v>
      </c>
      <c r="H87" s="2">
        <f t="shared" si="68"/>
        <v>-0.29621568680955207</v>
      </c>
      <c r="I87" s="2">
        <f t="shared" si="64"/>
        <v>0.94672548918189381</v>
      </c>
      <c r="J87" s="4">
        <f t="shared" si="69"/>
        <v>0.7</v>
      </c>
      <c r="K87" s="8">
        <f t="shared" si="70"/>
        <v>9.3748265206047265E-5</v>
      </c>
      <c r="L87" s="9">
        <f t="shared" si="71"/>
        <v>109040548617475.11</v>
      </c>
      <c r="M87" s="6">
        <f t="shared" si="65"/>
        <v>1248576305990238</v>
      </c>
      <c r="N87" s="2">
        <f t="shared" si="66"/>
        <v>7.6923076923076925</v>
      </c>
      <c r="O87" s="12">
        <v>1300</v>
      </c>
      <c r="P87" s="13"/>
      <c r="Q87" s="6">
        <f t="shared" si="67"/>
        <v>110598084297.62703</v>
      </c>
      <c r="R87" s="6"/>
    </row>
    <row r="88" spans="4:19" ht="15.75">
      <c r="D88" s="2">
        <f>10^E88</f>
        <v>0.94873063715692896</v>
      </c>
      <c r="E88" s="2">
        <f>LOG(J88)/(1+(F88/(I88-0.14*F88))^2)</f>
        <v>-2.285707461341863E-2</v>
      </c>
      <c r="F88" s="2">
        <f>LOG(G88)+H88</f>
        <v>-3.4294958594501841</v>
      </c>
      <c r="G88" s="6">
        <f>M88*K88/L88</f>
        <v>7.357323077461916E-4</v>
      </c>
      <c r="H88" s="2">
        <f>-0.4-0.67*LOG(J88)</f>
        <v>-0.29621568680955207</v>
      </c>
      <c r="I88" s="2">
        <f>0.75-1.27*LOG(J88)</f>
        <v>0.94672548918189381</v>
      </c>
      <c r="J88" s="4">
        <f t="shared" si="69"/>
        <v>0.7</v>
      </c>
      <c r="K88" s="8">
        <f t="shared" si="70"/>
        <v>8.124849651190763E-5</v>
      </c>
      <c r="L88" s="9">
        <f t="shared" si="71"/>
        <v>116126973303923.45</v>
      </c>
      <c r="M88" s="6">
        <f>$B$7*O88^$B$8*EXP(-$B$9/1.987/O88)</f>
        <v>1051568579462320.1</v>
      </c>
      <c r="N88" s="2">
        <f>10000/O88</f>
        <v>6.666666666666667</v>
      </c>
      <c r="O88" s="12">
        <v>1500</v>
      </c>
      <c r="P88" s="13"/>
      <c r="Q88" s="6">
        <f>L88/(1+L88/M88/K88)*D88</f>
        <v>80998402328.733231</v>
      </c>
      <c r="R88" s="6"/>
    </row>
    <row r="89" spans="4:19" ht="15.75">
      <c r="D89" s="2">
        <f>10^E89</f>
        <v>0.9519547976750693</v>
      </c>
      <c r="E89" s="2">
        <f>LOG(J89)/(1+(F89/(I89-0.14*F89))^2)</f>
        <v>-2.1383673029767455E-2</v>
      </c>
      <c r="F89" s="2">
        <f>LOG(G89)+H89</f>
        <v>-3.6385343490159143</v>
      </c>
      <c r="G89" s="6">
        <f>M89*K89/L89</f>
        <v>4.5465433654520769E-4</v>
      </c>
      <c r="H89" s="2">
        <f>-0.4-0.67*LOG(J89)</f>
        <v>-0.29621568680955207</v>
      </c>
      <c r="I89" s="2">
        <f>0.75-1.27*LOG(J89)</f>
        <v>0.94672548918189381</v>
      </c>
      <c r="J89" s="4">
        <f t="shared" si="69"/>
        <v>0.7</v>
      </c>
      <c r="K89" s="8">
        <f t="shared" si="70"/>
        <v>6.7707080426589685E-5</v>
      </c>
      <c r="L89" s="9">
        <f t="shared" si="71"/>
        <v>125826714030766.56</v>
      </c>
      <c r="M89" s="6">
        <f>$B$7*O89^$B$8*EXP(-$B$9/1.987/O89)</f>
        <v>844928784801882.5</v>
      </c>
      <c r="N89" s="2">
        <f>10000/O89</f>
        <v>5.5555555555555554</v>
      </c>
      <c r="O89" s="12">
        <v>1800</v>
      </c>
      <c r="P89" s="13"/>
      <c r="Q89" s="6">
        <f>L89/(1+L89/M89/K89)*D89</f>
        <v>54434358713.794502</v>
      </c>
      <c r="R89" s="6"/>
    </row>
    <row r="90" spans="4:19">
      <c r="D90" s="2" t="s">
        <v>4</v>
      </c>
      <c r="E90" s="2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s="2" t="s">
        <v>14</v>
      </c>
      <c r="P90">
        <v>22800</v>
      </c>
      <c r="Q90" s="6" t="s">
        <v>16</v>
      </c>
      <c r="R90" t="s">
        <v>49</v>
      </c>
    </row>
    <row r="91" spans="4:19" ht="15.75">
      <c r="D91" s="2">
        <f t="shared" ref="D91:D101" si="72">10^E91</f>
        <v>0.83738653579692179</v>
      </c>
      <c r="E91" s="2">
        <f t="shared" ref="E91:E101" si="73">LOG(J91)/(1+(F91/(I91-0.14*F91))^2)</f>
        <v>-7.7074026339593385E-2</v>
      </c>
      <c r="F91" s="2">
        <f t="shared" ref="F91:F101" si="74">LOG(G91)+H91</f>
        <v>-1.1070937932834322</v>
      </c>
      <c r="G91" s="6">
        <f t="shared" ref="G91:G101" si="75">M91*K91/L91</f>
        <v>0.15456882073060052</v>
      </c>
      <c r="H91" s="2">
        <f>-0.4-0.67*LOG(J91)</f>
        <v>-0.29621568680955207</v>
      </c>
      <c r="I91" s="2">
        <f t="shared" ref="I91:I101" si="76">0.75-1.27*LOG(J91)</f>
        <v>0.94672548918189381</v>
      </c>
      <c r="J91" s="4">
        <f>(1-$B$10)*EXP(-O91/$B$11)+$B$10*EXP(-O91/$B$12)+EXP(-B$13/O91)</f>
        <v>0.7</v>
      </c>
      <c r="K91" s="8">
        <f>$P$90*101325/760/8.314/O91/1000000</f>
        <v>1.2187274476786144E-3</v>
      </c>
      <c r="L91" s="9">
        <f>B$4*O91^B$5*EXP(-B$6/1.987/O91)</f>
        <v>57198719309897.531</v>
      </c>
      <c r="M91" s="6">
        <f t="shared" ref="M91:M101" si="77">$B$7*O91^$B$8*EXP(-$B$9/1.987/O91)</f>
        <v>7254401800723988</v>
      </c>
      <c r="N91" s="2">
        <f t="shared" ref="N91:N101" si="78">10000/O91</f>
        <v>33.333333333333336</v>
      </c>
      <c r="O91" s="12">
        <v>300</v>
      </c>
      <c r="P91" s="13"/>
      <c r="Q91" s="6">
        <f t="shared" ref="Q91:Q101" si="79">L91/(1+L91/M91/K91)*D91</f>
        <v>6412307594240.6807</v>
      </c>
      <c r="R91" s="6"/>
    </row>
    <row r="92" spans="4:19" ht="15.75">
      <c r="D92" s="2">
        <f t="shared" si="72"/>
        <v>0.8702745602026023</v>
      </c>
      <c r="E92" s="2">
        <f t="shared" si="73"/>
        <v>-6.0343711554211914E-2</v>
      </c>
      <c r="F92" s="2">
        <f t="shared" si="74"/>
        <v>-1.4369320579293441</v>
      </c>
      <c r="G92" s="6">
        <f t="shared" si="75"/>
        <v>7.2324198400809295E-2</v>
      </c>
      <c r="H92" s="2">
        <f t="shared" ref="H92:H101" si="80">-0.4-0.67*LOG(J92)</f>
        <v>-0.29621568680955207</v>
      </c>
      <c r="I92" s="2">
        <f t="shared" si="76"/>
        <v>0.94672548918189381</v>
      </c>
      <c r="J92" s="4">
        <f t="shared" ref="J92:J103" si="81">(1-$B$10)*EXP(-O92/$B$11)+$B$10*EXP(-O92/$B$12)+EXP(-B$13/O92)</f>
        <v>0.7</v>
      </c>
      <c r="K92" s="8">
        <f t="shared" ref="K92:K103" si="82">$P$90*101325/760/8.314/O92/1000000</f>
        <v>9.1404558575896081E-4</v>
      </c>
      <c r="L92" s="9">
        <f t="shared" ref="L92:L103" si="83">B$4*O92^B$5*EXP(-B$6/1.987/O92)</f>
        <v>64917135642202.219</v>
      </c>
      <c r="M92" s="6">
        <f t="shared" si="77"/>
        <v>5136592606484073</v>
      </c>
      <c r="N92" s="2">
        <f t="shared" si="78"/>
        <v>25</v>
      </c>
      <c r="O92" s="12">
        <v>400</v>
      </c>
      <c r="P92" s="13"/>
      <c r="Q92" s="6">
        <f t="shared" si="79"/>
        <v>3810422736182.8984</v>
      </c>
      <c r="R92" s="6"/>
      <c r="S92" s="6"/>
    </row>
    <row r="93" spans="4:19" ht="15.75">
      <c r="D93" s="2">
        <f t="shared" si="72"/>
        <v>0.88946727305993778</v>
      </c>
      <c r="E93" s="2">
        <f t="shared" si="73"/>
        <v>-5.0870026659261776E-2</v>
      </c>
      <c r="F93" s="2">
        <f t="shared" si="74"/>
        <v>-1.6927744922706132</v>
      </c>
      <c r="G93" s="6">
        <f t="shared" si="75"/>
        <v>4.0127416022567669E-2</v>
      </c>
      <c r="H93" s="2">
        <f t="shared" si="80"/>
        <v>-0.29621568680955207</v>
      </c>
      <c r="I93" s="2">
        <f t="shared" si="76"/>
        <v>0.94672548918189381</v>
      </c>
      <c r="J93" s="4">
        <f t="shared" si="81"/>
        <v>0.7</v>
      </c>
      <c r="K93" s="8">
        <f t="shared" si="82"/>
        <v>7.312364686071686E-4</v>
      </c>
      <c r="L93" s="9">
        <f t="shared" si="83"/>
        <v>71614300587921.641</v>
      </c>
      <c r="M93" s="6">
        <f t="shared" si="77"/>
        <v>3929914543691253</v>
      </c>
      <c r="N93" s="2">
        <f t="shared" si="78"/>
        <v>20</v>
      </c>
      <c r="O93" s="12">
        <v>500</v>
      </c>
      <c r="P93" s="13"/>
      <c r="Q93" s="6">
        <f t="shared" si="79"/>
        <v>2457448237732.6445</v>
      </c>
      <c r="R93" s="6"/>
      <c r="S93" s="6"/>
    </row>
    <row r="94" spans="4:19" ht="15.75">
      <c r="D94" s="2">
        <f t="shared" si="72"/>
        <v>0.90200344566996027</v>
      </c>
      <c r="E94" s="2">
        <f t="shared" si="73"/>
        <v>-4.479180344188087E-2</v>
      </c>
      <c r="F94" s="2">
        <f t="shared" si="74"/>
        <v>-1.9018129818363427</v>
      </c>
      <c r="G94" s="6">
        <f t="shared" si="75"/>
        <v>2.4797203435176315E-2</v>
      </c>
      <c r="H94" s="2">
        <f t="shared" si="80"/>
        <v>-0.29621568680955207</v>
      </c>
      <c r="I94" s="2">
        <f t="shared" si="76"/>
        <v>0.94672548918189381</v>
      </c>
      <c r="J94" s="4">
        <f t="shared" si="81"/>
        <v>0.7</v>
      </c>
      <c r="K94" s="8">
        <f t="shared" si="82"/>
        <v>6.093637238393072E-4</v>
      </c>
      <c r="L94" s="9">
        <f t="shared" si="83"/>
        <v>77596030140271.719</v>
      </c>
      <c r="M94" s="6">
        <f t="shared" si="77"/>
        <v>3157661786998342</v>
      </c>
      <c r="N94" s="2">
        <f t="shared" si="78"/>
        <v>16.666666666666668</v>
      </c>
      <c r="O94" s="12">
        <v>600</v>
      </c>
      <c r="P94" s="13"/>
      <c r="Q94" s="6">
        <f t="shared" si="79"/>
        <v>1693606348596.374</v>
      </c>
      <c r="R94" s="6"/>
      <c r="S94" s="6"/>
    </row>
    <row r="95" spans="4:19" ht="15.75">
      <c r="D95" s="2">
        <f t="shared" si="72"/>
        <v>0.91085982321590986</v>
      </c>
      <c r="E95" s="2">
        <f t="shared" si="73"/>
        <v>-4.0548453639506245E-2</v>
      </c>
      <c r="F95" s="2">
        <f t="shared" si="74"/>
        <v>-2.0785525064611616</v>
      </c>
      <c r="G95" s="6">
        <f t="shared" si="75"/>
        <v>1.6506811061835831E-2</v>
      </c>
      <c r="H95" s="2">
        <f t="shared" si="80"/>
        <v>-0.29621568680955207</v>
      </c>
      <c r="I95" s="2">
        <f t="shared" si="76"/>
        <v>0.94672548918189381</v>
      </c>
      <c r="J95" s="4">
        <f t="shared" si="81"/>
        <v>0.7</v>
      </c>
      <c r="K95" s="8">
        <f t="shared" si="82"/>
        <v>5.2231176329083475E-4</v>
      </c>
      <c r="L95" s="9">
        <f t="shared" si="83"/>
        <v>83041673073623.266</v>
      </c>
      <c r="M95" s="6">
        <f t="shared" si="77"/>
        <v>2624396584615640</v>
      </c>
      <c r="N95" s="2">
        <f t="shared" si="78"/>
        <v>14.285714285714286</v>
      </c>
      <c r="O95" s="12">
        <v>700</v>
      </c>
      <c r="P95" s="13"/>
      <c r="Q95" s="6">
        <f t="shared" si="79"/>
        <v>1228288891759.0186</v>
      </c>
      <c r="R95" s="6"/>
      <c r="S95" s="6"/>
    </row>
    <row r="96" spans="4:19" ht="15.75">
      <c r="D96" s="2">
        <f t="shared" si="72"/>
        <v>0.91747607521640029</v>
      </c>
      <c r="E96" s="2">
        <f t="shared" si="73"/>
        <v>-3.7405251911808476E-2</v>
      </c>
      <c r="F96" s="2">
        <f t="shared" si="74"/>
        <v>-2.231651246482254</v>
      </c>
      <c r="G96" s="6">
        <f t="shared" si="75"/>
        <v>1.160284365600954E-2</v>
      </c>
      <c r="H96" s="2">
        <f t="shared" si="80"/>
        <v>-0.29621568680955207</v>
      </c>
      <c r="I96" s="2">
        <f t="shared" si="76"/>
        <v>0.94672548918189381</v>
      </c>
      <c r="J96" s="4">
        <f t="shared" si="81"/>
        <v>0.7</v>
      </c>
      <c r="K96" s="8">
        <f t="shared" si="82"/>
        <v>4.570227928794804E-4</v>
      </c>
      <c r="L96" s="9">
        <f t="shared" si="83"/>
        <v>88066867137719.016</v>
      </c>
      <c r="M96" s="6">
        <f t="shared" si="77"/>
        <v>2235831793498709.7</v>
      </c>
      <c r="N96" s="2">
        <f t="shared" si="78"/>
        <v>12.5</v>
      </c>
      <c r="O96" s="12">
        <v>800</v>
      </c>
      <c r="P96" s="13"/>
      <c r="Q96" s="6">
        <f t="shared" si="79"/>
        <v>926748078165.39661</v>
      </c>
      <c r="R96" s="6"/>
      <c r="S96" s="6"/>
    </row>
    <row r="97" spans="4:19" ht="15.75">
      <c r="D97" s="2">
        <f t="shared" si="72"/>
        <v>0.92262729205216587</v>
      </c>
      <c r="E97" s="2">
        <f t="shared" si="73"/>
        <v>-3.4973702760110366E-2</v>
      </c>
      <c r="F97" s="2">
        <f t="shared" si="74"/>
        <v>-2.3666939057433414</v>
      </c>
      <c r="G97" s="6">
        <f t="shared" si="75"/>
        <v>8.5020133206016833E-3</v>
      </c>
      <c r="H97" s="2">
        <f t="shared" si="80"/>
        <v>-0.29621568680955207</v>
      </c>
      <c r="I97" s="2">
        <f t="shared" si="76"/>
        <v>0.94672548918189381</v>
      </c>
      <c r="J97" s="4">
        <f t="shared" si="81"/>
        <v>0.7</v>
      </c>
      <c r="K97" s="8">
        <f t="shared" si="82"/>
        <v>4.0624248255953814E-4</v>
      </c>
      <c r="L97" s="9">
        <f t="shared" si="83"/>
        <v>92751225604224.75</v>
      </c>
      <c r="M97" s="6">
        <f t="shared" si="77"/>
        <v>1941136610383132.7</v>
      </c>
      <c r="N97" s="2">
        <f t="shared" si="78"/>
        <v>11.111111111111111</v>
      </c>
      <c r="O97" s="12">
        <v>900</v>
      </c>
      <c r="P97" s="13"/>
      <c r="Q97" s="6">
        <f t="shared" si="79"/>
        <v>721424630679.20496</v>
      </c>
      <c r="R97" s="6"/>
      <c r="S97" s="6"/>
    </row>
    <row r="98" spans="4:19" ht="15.75">
      <c r="D98" s="2">
        <f t="shared" si="72"/>
        <v>0.92676660013860046</v>
      </c>
      <c r="E98" s="2">
        <f t="shared" si="73"/>
        <v>-3.3029626195052501E-2</v>
      </c>
      <c r="F98" s="2">
        <f t="shared" si="74"/>
        <v>-2.4874936808235235</v>
      </c>
      <c r="G98" s="6">
        <f t="shared" si="75"/>
        <v>6.4375706157054971E-3</v>
      </c>
      <c r="H98" s="2">
        <f t="shared" si="80"/>
        <v>-0.29621568680955207</v>
      </c>
      <c r="I98" s="2">
        <f t="shared" si="76"/>
        <v>0.94672548918189381</v>
      </c>
      <c r="J98" s="4">
        <f t="shared" si="81"/>
        <v>0.7</v>
      </c>
      <c r="K98" s="8">
        <f t="shared" si="82"/>
        <v>3.656182343035843E-4</v>
      </c>
      <c r="L98" s="9">
        <f t="shared" si="83"/>
        <v>97152270084712.828</v>
      </c>
      <c r="M98" s="6">
        <f t="shared" si="77"/>
        <v>1710594659858025.2</v>
      </c>
      <c r="N98" s="2">
        <f t="shared" si="78"/>
        <v>10</v>
      </c>
      <c r="O98" s="12">
        <v>1000</v>
      </c>
      <c r="P98" s="13"/>
      <c r="Q98" s="6">
        <f t="shared" si="79"/>
        <v>575915135043.48938</v>
      </c>
      <c r="R98" s="6"/>
      <c r="S98" s="6"/>
    </row>
    <row r="99" spans="4:19" ht="15.75">
      <c r="D99" s="2">
        <f t="shared" si="72"/>
        <v>0.93017646255455977</v>
      </c>
      <c r="E99" s="2">
        <f t="shared" si="73"/>
        <v>-3.1434654194534825E-2</v>
      </c>
      <c r="F99" s="2">
        <f t="shared" si="74"/>
        <v>-2.5967703696412374</v>
      </c>
      <c r="G99" s="6">
        <f t="shared" si="75"/>
        <v>5.0054752368459063E-3</v>
      </c>
      <c r="H99" s="2">
        <f t="shared" si="80"/>
        <v>-0.29621568680955207</v>
      </c>
      <c r="I99" s="2">
        <f t="shared" si="76"/>
        <v>0.94672548918189381</v>
      </c>
      <c r="J99" s="4">
        <f t="shared" si="81"/>
        <v>0.7</v>
      </c>
      <c r="K99" s="8">
        <f t="shared" si="82"/>
        <v>3.3238021300325844E-4</v>
      </c>
      <c r="L99" s="9">
        <f t="shared" si="83"/>
        <v>101313130365237.22</v>
      </c>
      <c r="M99" s="6">
        <f t="shared" si="77"/>
        <v>1525723690433896.2</v>
      </c>
      <c r="N99" s="2">
        <f t="shared" si="78"/>
        <v>9.0909090909090917</v>
      </c>
      <c r="O99" s="12">
        <v>1100</v>
      </c>
      <c r="P99" s="13"/>
      <c r="Q99" s="6">
        <f t="shared" si="79"/>
        <v>469362047296.05701</v>
      </c>
      <c r="R99" s="6"/>
      <c r="S99" s="6"/>
    </row>
    <row r="100" spans="4:19" ht="15.75">
      <c r="D100" s="2">
        <f t="shared" si="72"/>
        <v>0.93304218323863231</v>
      </c>
      <c r="E100" s="2">
        <f t="shared" si="73"/>
        <v>-3.0098721169219005E-2</v>
      </c>
      <c r="F100" s="2">
        <f t="shared" si="74"/>
        <v>-2.6965321703892533</v>
      </c>
      <c r="G100" s="6">
        <f t="shared" si="75"/>
        <v>3.9781716344801342E-3</v>
      </c>
      <c r="H100" s="2">
        <f t="shared" si="80"/>
        <v>-0.29621568680955207</v>
      </c>
      <c r="I100" s="2">
        <f t="shared" si="76"/>
        <v>0.94672548918189381</v>
      </c>
      <c r="J100" s="4">
        <f t="shared" si="81"/>
        <v>0.7</v>
      </c>
      <c r="K100" s="8">
        <f t="shared" si="82"/>
        <v>3.046818619196536E-4</v>
      </c>
      <c r="L100" s="9">
        <f t="shared" si="83"/>
        <v>105267110281052.58</v>
      </c>
      <c r="M100" s="6">
        <f t="shared" si="77"/>
        <v>1374452123685025</v>
      </c>
      <c r="N100" s="2">
        <f t="shared" si="78"/>
        <v>8.3333333333333339</v>
      </c>
      <c r="O100" s="12">
        <v>1200</v>
      </c>
      <c r="P100" s="13"/>
      <c r="Q100" s="6">
        <f t="shared" si="79"/>
        <v>389182430405.03589</v>
      </c>
      <c r="R100" s="6"/>
    </row>
    <row r="101" spans="4:19" ht="15.75">
      <c r="D101" s="2">
        <f t="shared" si="72"/>
        <v>0.93549047370902894</v>
      </c>
      <c r="E101" s="2">
        <f t="shared" si="73"/>
        <v>-2.896063065105486E-2</v>
      </c>
      <c r="F101" s="2">
        <f t="shared" si="74"/>
        <v>-2.7883041309135725</v>
      </c>
      <c r="G101" s="6">
        <f t="shared" si="75"/>
        <v>3.2204128871706895E-3</v>
      </c>
      <c r="H101" s="2">
        <f t="shared" si="80"/>
        <v>-0.29621568680955207</v>
      </c>
      <c r="I101" s="2">
        <f t="shared" si="76"/>
        <v>0.94672548918189381</v>
      </c>
      <c r="J101" s="4">
        <f t="shared" si="81"/>
        <v>0.7</v>
      </c>
      <c r="K101" s="8">
        <f t="shared" si="82"/>
        <v>2.8124479561814178E-4</v>
      </c>
      <c r="L101" s="9">
        <f t="shared" si="83"/>
        <v>109040548617475.11</v>
      </c>
      <c r="M101" s="6">
        <f t="shared" si="77"/>
        <v>1248576305990238</v>
      </c>
      <c r="N101" s="2">
        <f t="shared" si="78"/>
        <v>7.6923076923076925</v>
      </c>
      <c r="O101" s="12">
        <v>1300</v>
      </c>
      <c r="P101" s="13"/>
      <c r="Q101" s="6">
        <f t="shared" si="79"/>
        <v>327448188988.39648</v>
      </c>
      <c r="R101" s="6"/>
    </row>
    <row r="102" spans="4:19" ht="15.75">
      <c r="D102" s="2">
        <f>10^E102</f>
        <v>0.93946906724823598</v>
      </c>
      <c r="E102" s="2">
        <f>LOG(J102)/(1+(F102/(I102-0.14*F102))^2)</f>
        <v>-2.7117514812588027E-2</v>
      </c>
      <c r="F102" s="2">
        <f>LOG(G102)+H102</f>
        <v>-2.9523746047305219</v>
      </c>
      <c r="G102" s="6">
        <f>M102*K102/L102</f>
        <v>2.2071969232385744E-3</v>
      </c>
      <c r="H102" s="2">
        <f>-0.4-0.67*LOG(J102)</f>
        <v>-0.29621568680955207</v>
      </c>
      <c r="I102" s="2">
        <f>0.75-1.27*LOG(J102)</f>
        <v>0.94672548918189381</v>
      </c>
      <c r="J102" s="4">
        <f t="shared" si="81"/>
        <v>0.7</v>
      </c>
      <c r="K102" s="8">
        <f t="shared" si="82"/>
        <v>2.4374548953572288E-4</v>
      </c>
      <c r="L102" s="9">
        <f t="shared" si="83"/>
        <v>116126973303923.45</v>
      </c>
      <c r="M102" s="6">
        <f>$B$7*O102^$B$8*EXP(-$B$9/1.987/O102)</f>
        <v>1051568579462320.1</v>
      </c>
      <c r="N102" s="2">
        <f>10000/O102</f>
        <v>6.666666666666667</v>
      </c>
      <c r="O102" s="12">
        <v>1500</v>
      </c>
      <c r="P102" s="13"/>
      <c r="Q102" s="6">
        <f>L102/(1+L102/M102/K102)*D102</f>
        <v>240269783483.29459</v>
      </c>
      <c r="R102" s="6"/>
    </row>
    <row r="103" spans="4:19" ht="15.75">
      <c r="D103" s="2">
        <f>10^E103</f>
        <v>0.94390121145631223</v>
      </c>
      <c r="E103" s="2">
        <f>LOG(J103)/(1+(F103/(I103-0.14*F103))^2)</f>
        <v>-2.5073456511727234E-2</v>
      </c>
      <c r="F103" s="2">
        <f>LOG(G103)+H103</f>
        <v>-3.1614130942962517</v>
      </c>
      <c r="G103" s="6">
        <f>M103*K103/L103</f>
        <v>1.363963009635623E-3</v>
      </c>
      <c r="H103" s="2">
        <f>-0.4-0.67*LOG(J103)</f>
        <v>-0.29621568680955207</v>
      </c>
      <c r="I103" s="2">
        <f>0.75-1.27*LOG(J103)</f>
        <v>0.94672548918189381</v>
      </c>
      <c r="J103" s="4">
        <f t="shared" si="81"/>
        <v>0.7</v>
      </c>
      <c r="K103" s="8">
        <f t="shared" si="82"/>
        <v>2.0312124127976907E-4</v>
      </c>
      <c r="L103" s="9">
        <f t="shared" si="83"/>
        <v>125826714030766.56</v>
      </c>
      <c r="M103" s="6">
        <f>$B$7*O103^$B$8*EXP(-$B$9/1.987/O103)</f>
        <v>844928784801882.5</v>
      </c>
      <c r="N103" s="2">
        <f>10000/O103</f>
        <v>5.5555555555555554</v>
      </c>
      <c r="O103" s="12">
        <v>1800</v>
      </c>
      <c r="P103" s="13"/>
      <c r="Q103" s="6">
        <f>L103/(1+L103/M103/K103)*D103</f>
        <v>161774487680.78638</v>
      </c>
      <c r="R103" s="6"/>
    </row>
    <row r="104" spans="4:19">
      <c r="D104" s="2" t="s">
        <v>4</v>
      </c>
      <c r="E104" s="2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s="2" t="s">
        <v>14</v>
      </c>
      <c r="P104">
        <v>76000</v>
      </c>
      <c r="Q104" s="6" t="s">
        <v>16</v>
      </c>
      <c r="R104" t="s">
        <v>50</v>
      </c>
    </row>
    <row r="105" spans="4:19" ht="15.75">
      <c r="D105" s="2">
        <f t="shared" ref="D105:D115" si="84">10^E105</f>
        <v>0.76363288759890502</v>
      </c>
      <c r="E105" s="2">
        <f t="shared" ref="E105:E115" si="85">LOG(J105)/(1+(F105/(I105-0.14*F105))^2)</f>
        <v>-0.1171153759892664</v>
      </c>
      <c r="F105" s="2">
        <f t="shared" ref="F105:F115" si="86">LOG(G105)+H105</f>
        <v>-0.58421504800309454</v>
      </c>
      <c r="G105" s="6">
        <f t="shared" ref="G105:G115" si="87">M105*K105/L105</f>
        <v>0.5152294024353351</v>
      </c>
      <c r="H105" s="2">
        <f>-0.4-0.67*LOG(J105)</f>
        <v>-0.29621568680955207</v>
      </c>
      <c r="I105" s="2">
        <f t="shared" ref="I105:I115" si="88">0.75-1.27*LOG(J105)</f>
        <v>0.94672548918189381</v>
      </c>
      <c r="J105" s="4">
        <f>(1-$B$10)*EXP(-O105/$B$11)+$B$10*EXP(-O105/$B$12)+EXP(-B$13/O105)</f>
        <v>0.7</v>
      </c>
      <c r="K105" s="8">
        <f>$P$104*101325/760/8.314/O105/1000000</f>
        <v>4.0624248255953814E-3</v>
      </c>
      <c r="L105" s="9">
        <f>B$4*O105^B$5*EXP(-B$6/1.987/O105)</f>
        <v>57198719309897.531</v>
      </c>
      <c r="M105" s="6">
        <f t="shared" ref="M105:M115" si="89">$B$7*O105^$B$8*EXP(-$B$9/1.987/O105)</f>
        <v>7254401800723988</v>
      </c>
      <c r="N105" s="2">
        <f t="shared" ref="N105:N115" si="90">10000/O105</f>
        <v>33.333333333333336</v>
      </c>
      <c r="O105" s="12">
        <v>300</v>
      </c>
      <c r="P105" s="13"/>
      <c r="Q105" s="6">
        <f t="shared" ref="Q105:Q115" si="91">L105/(1+L105/M105/K105)*D105</f>
        <v>14852281731686.758</v>
      </c>
      <c r="R105" s="6"/>
      <c r="S105" s="6"/>
    </row>
    <row r="106" spans="4:19" ht="15.75">
      <c r="D106" s="2">
        <f t="shared" si="84"/>
        <v>0.8130514420646362</v>
      </c>
      <c r="E106" s="2">
        <f t="shared" si="85"/>
        <v>-8.9881975564563399E-2</v>
      </c>
      <c r="F106" s="2">
        <f t="shared" si="86"/>
        <v>-0.91405331264900669</v>
      </c>
      <c r="G106" s="6">
        <f t="shared" si="87"/>
        <v>0.24108066133603095</v>
      </c>
      <c r="H106" s="2">
        <f t="shared" ref="H106:H115" si="92">-0.4-0.67*LOG(J106)</f>
        <v>-0.29621568680955207</v>
      </c>
      <c r="I106" s="2">
        <f t="shared" si="88"/>
        <v>0.94672548918189381</v>
      </c>
      <c r="J106" s="4">
        <f t="shared" ref="J106:J117" si="93">(1-$B$10)*EXP(-O106/$B$11)+$B$10*EXP(-O106/$B$12)+EXP(-B$13/O106)</f>
        <v>0.7</v>
      </c>
      <c r="K106" s="8">
        <f t="shared" ref="K106:K117" si="94">$P$104*101325/760/8.314/O106/1000000</f>
        <v>3.0468186191965358E-3</v>
      </c>
      <c r="L106" s="9">
        <f t="shared" ref="L106:L117" si="95">B$4*O106^B$5*EXP(-B$6/1.987/O106)</f>
        <v>64917135642202.219</v>
      </c>
      <c r="M106" s="6">
        <f t="shared" si="89"/>
        <v>5136592606484073</v>
      </c>
      <c r="N106" s="2">
        <f t="shared" si="90"/>
        <v>25</v>
      </c>
      <c r="O106" s="12">
        <v>400</v>
      </c>
      <c r="P106" s="13"/>
      <c r="Q106" s="6">
        <f t="shared" si="91"/>
        <v>10252735160929.641</v>
      </c>
      <c r="R106" s="6"/>
      <c r="S106" s="6"/>
    </row>
    <row r="107" spans="4:19" ht="15.75">
      <c r="D107" s="2">
        <f t="shared" si="84"/>
        <v>0.84446205829931364</v>
      </c>
      <c r="E107" s="2">
        <f t="shared" si="85"/>
        <v>-7.3419858516195924E-2</v>
      </c>
      <c r="F107" s="2">
        <f t="shared" si="86"/>
        <v>-1.1698957469902755</v>
      </c>
      <c r="G107" s="6">
        <f t="shared" si="87"/>
        <v>0.1337580534085589</v>
      </c>
      <c r="H107" s="2">
        <f t="shared" si="92"/>
        <v>-0.29621568680955207</v>
      </c>
      <c r="I107" s="2">
        <f t="shared" si="88"/>
        <v>0.94672548918189381</v>
      </c>
      <c r="J107" s="4">
        <f t="shared" si="93"/>
        <v>0.7</v>
      </c>
      <c r="K107" s="8">
        <f t="shared" si="94"/>
        <v>2.4374548953572288E-3</v>
      </c>
      <c r="L107" s="9">
        <f t="shared" si="95"/>
        <v>71614300587921.641</v>
      </c>
      <c r="M107" s="6">
        <f t="shared" si="89"/>
        <v>3929914543691253</v>
      </c>
      <c r="N107" s="2">
        <f t="shared" si="90"/>
        <v>20</v>
      </c>
      <c r="O107" s="12">
        <v>500</v>
      </c>
      <c r="P107" s="13"/>
      <c r="Q107" s="6">
        <f t="shared" si="91"/>
        <v>7134761351438.3984</v>
      </c>
      <c r="R107" s="6"/>
      <c r="S107" s="6"/>
    </row>
    <row r="108" spans="4:19" ht="15.75">
      <c r="D108" s="2">
        <f t="shared" si="84"/>
        <v>0.86521876306321943</v>
      </c>
      <c r="E108" s="2">
        <f t="shared" si="85"/>
        <v>-6.2874071056266523E-2</v>
      </c>
      <c r="F108" s="2">
        <f t="shared" si="86"/>
        <v>-1.3789342365560051</v>
      </c>
      <c r="G108" s="6">
        <f t="shared" si="87"/>
        <v>8.2657344783921061E-2</v>
      </c>
      <c r="H108" s="2">
        <f t="shared" si="92"/>
        <v>-0.29621568680955207</v>
      </c>
      <c r="I108" s="2">
        <f t="shared" si="88"/>
        <v>0.94672548918189381</v>
      </c>
      <c r="J108" s="4">
        <f t="shared" si="93"/>
        <v>0.7</v>
      </c>
      <c r="K108" s="8">
        <f t="shared" si="94"/>
        <v>2.0312124127976907E-3</v>
      </c>
      <c r="L108" s="9">
        <f t="shared" si="95"/>
        <v>77596030140271.719</v>
      </c>
      <c r="M108" s="6">
        <f t="shared" si="89"/>
        <v>3157661786998342</v>
      </c>
      <c r="N108" s="2">
        <f t="shared" si="90"/>
        <v>16.666666666666668</v>
      </c>
      <c r="O108" s="12">
        <v>600</v>
      </c>
      <c r="P108" s="13"/>
      <c r="Q108" s="6">
        <f t="shared" si="91"/>
        <v>5125731533638.0117</v>
      </c>
      <c r="R108" s="6"/>
      <c r="S108" s="6"/>
    </row>
    <row r="109" spans="4:19" ht="15.75">
      <c r="D109" s="2">
        <f t="shared" si="84"/>
        <v>0.87977600709816672</v>
      </c>
      <c r="E109" s="2">
        <f t="shared" si="85"/>
        <v>-5.5627886104273563E-2</v>
      </c>
      <c r="F109" s="2">
        <f t="shared" si="86"/>
        <v>-1.5556737611808238</v>
      </c>
      <c r="G109" s="6">
        <f t="shared" si="87"/>
        <v>5.5022703539452773E-2</v>
      </c>
      <c r="H109" s="2">
        <f t="shared" si="92"/>
        <v>-0.29621568680955207</v>
      </c>
      <c r="I109" s="2">
        <f t="shared" si="88"/>
        <v>0.94672548918189381</v>
      </c>
      <c r="J109" s="4">
        <f t="shared" si="93"/>
        <v>0.7</v>
      </c>
      <c r="K109" s="8">
        <f t="shared" si="94"/>
        <v>1.7410392109694492E-3</v>
      </c>
      <c r="L109" s="9">
        <f t="shared" si="95"/>
        <v>83041673073623.266</v>
      </c>
      <c r="M109" s="6">
        <f t="shared" si="89"/>
        <v>2624396584615640</v>
      </c>
      <c r="N109" s="2">
        <f t="shared" si="90"/>
        <v>14.285714285714286</v>
      </c>
      <c r="O109" s="12">
        <v>700</v>
      </c>
      <c r="P109" s="13"/>
      <c r="Q109" s="6">
        <f t="shared" si="91"/>
        <v>3810204841179.6758</v>
      </c>
      <c r="R109" s="6"/>
      <c r="S109" s="6"/>
    </row>
    <row r="110" spans="4:19" ht="15.75">
      <c r="D110" s="2">
        <f t="shared" si="84"/>
        <v>0.8905169764999582</v>
      </c>
      <c r="E110" s="2">
        <f t="shared" si="85"/>
        <v>-5.0357796885771605E-2</v>
      </c>
      <c r="F110" s="2">
        <f t="shared" si="86"/>
        <v>-1.7087725012019166</v>
      </c>
      <c r="G110" s="6">
        <f t="shared" si="87"/>
        <v>3.8676145520031797E-2</v>
      </c>
      <c r="H110" s="2">
        <f t="shared" si="92"/>
        <v>-0.29621568680955207</v>
      </c>
      <c r="I110" s="2">
        <f t="shared" si="88"/>
        <v>0.94672548918189381</v>
      </c>
      <c r="J110" s="4">
        <f t="shared" si="93"/>
        <v>0.7</v>
      </c>
      <c r="K110" s="8">
        <f t="shared" si="94"/>
        <v>1.5234093095982679E-3</v>
      </c>
      <c r="L110" s="9">
        <f t="shared" si="95"/>
        <v>88066867137719.016</v>
      </c>
      <c r="M110" s="6">
        <f t="shared" si="89"/>
        <v>2235831793498709.7</v>
      </c>
      <c r="N110" s="2">
        <f t="shared" si="90"/>
        <v>12.5</v>
      </c>
      <c r="O110" s="12">
        <v>800</v>
      </c>
      <c r="P110" s="13"/>
      <c r="Q110" s="6">
        <f t="shared" si="91"/>
        <v>2920234841566.1006</v>
      </c>
      <c r="R110" s="6"/>
      <c r="S110" s="6"/>
    </row>
    <row r="111" spans="4:19" ht="15.75">
      <c r="D111" s="2">
        <f t="shared" si="84"/>
        <v>0.89876893044337636</v>
      </c>
      <c r="E111" s="2">
        <f t="shared" si="85"/>
        <v>-4.6351949125872406E-2</v>
      </c>
      <c r="F111" s="2">
        <f t="shared" si="86"/>
        <v>-1.843815160463004</v>
      </c>
      <c r="G111" s="6">
        <f t="shared" si="87"/>
        <v>2.8340044402005608E-2</v>
      </c>
      <c r="H111" s="2">
        <f t="shared" si="92"/>
        <v>-0.29621568680955207</v>
      </c>
      <c r="I111" s="2">
        <f t="shared" si="88"/>
        <v>0.94672548918189381</v>
      </c>
      <c r="J111" s="4">
        <f t="shared" si="93"/>
        <v>0.7</v>
      </c>
      <c r="K111" s="8">
        <f t="shared" si="94"/>
        <v>1.3541416085317936E-3</v>
      </c>
      <c r="L111" s="9">
        <f t="shared" si="95"/>
        <v>92751225604224.75</v>
      </c>
      <c r="M111" s="6">
        <f t="shared" si="89"/>
        <v>1941136610383132.7</v>
      </c>
      <c r="N111" s="2">
        <f t="shared" si="90"/>
        <v>11.111111111111111</v>
      </c>
      <c r="O111" s="12">
        <v>900</v>
      </c>
      <c r="P111" s="13"/>
      <c r="Q111" s="6">
        <f t="shared" si="91"/>
        <v>2297372860642.686</v>
      </c>
      <c r="R111" s="6"/>
      <c r="S111" s="6"/>
    </row>
    <row r="112" spans="4:19" ht="15.75">
      <c r="D112" s="2">
        <f t="shared" si="84"/>
        <v>0.9053152624690427</v>
      </c>
      <c r="E112" s="2">
        <f t="shared" si="85"/>
        <v>-4.3200157912712991E-2</v>
      </c>
      <c r="F112" s="2">
        <f t="shared" si="86"/>
        <v>-1.9646149355431857</v>
      </c>
      <c r="G112" s="6">
        <f t="shared" si="87"/>
        <v>2.1458568719018328E-2</v>
      </c>
      <c r="H112" s="2">
        <f t="shared" si="92"/>
        <v>-0.29621568680955207</v>
      </c>
      <c r="I112" s="2">
        <f t="shared" si="88"/>
        <v>0.94672548918189381</v>
      </c>
      <c r="J112" s="4">
        <f t="shared" si="93"/>
        <v>0.7</v>
      </c>
      <c r="K112" s="8">
        <f t="shared" si="94"/>
        <v>1.2187274476786144E-3</v>
      </c>
      <c r="L112" s="9">
        <f t="shared" si="95"/>
        <v>97152270084712.828</v>
      </c>
      <c r="M112" s="6">
        <f t="shared" si="89"/>
        <v>1710594659858025.2</v>
      </c>
      <c r="N112" s="2">
        <f t="shared" si="90"/>
        <v>10</v>
      </c>
      <c r="O112" s="12">
        <v>1000</v>
      </c>
      <c r="P112" s="13"/>
      <c r="Q112" s="6">
        <f t="shared" si="91"/>
        <v>1847705664789.0957</v>
      </c>
      <c r="R112" s="6"/>
      <c r="S112" s="6"/>
    </row>
    <row r="113" spans="4:19" ht="15.75">
      <c r="D113" s="2">
        <f t="shared" si="84"/>
        <v>0.91064401027750796</v>
      </c>
      <c r="E113" s="2">
        <f t="shared" si="85"/>
        <v>-4.065136461557603E-2</v>
      </c>
      <c r="F113" s="2">
        <f t="shared" si="86"/>
        <v>-2.0738916243609</v>
      </c>
      <c r="G113" s="6">
        <f t="shared" si="87"/>
        <v>1.6684917456153022E-2</v>
      </c>
      <c r="H113" s="2">
        <f t="shared" si="92"/>
        <v>-0.29621568680955207</v>
      </c>
      <c r="I113" s="2">
        <f t="shared" si="88"/>
        <v>0.94672548918189381</v>
      </c>
      <c r="J113" s="4">
        <f t="shared" si="93"/>
        <v>0.7</v>
      </c>
      <c r="K113" s="8">
        <f t="shared" si="94"/>
        <v>1.1079340433441949E-3</v>
      </c>
      <c r="L113" s="9">
        <f t="shared" si="95"/>
        <v>101313130365237.22</v>
      </c>
      <c r="M113" s="6">
        <f t="shared" si="89"/>
        <v>1525723690433896.2</v>
      </c>
      <c r="N113" s="2">
        <f t="shared" si="90"/>
        <v>9.0909090909090917</v>
      </c>
      <c r="O113" s="12">
        <v>1100</v>
      </c>
      <c r="P113" s="13"/>
      <c r="Q113" s="6">
        <f t="shared" si="91"/>
        <v>1514091255936.0142</v>
      </c>
      <c r="R113" s="6"/>
      <c r="S113" s="6"/>
    </row>
    <row r="114" spans="4:19" ht="15.75">
      <c r="D114" s="2">
        <f t="shared" si="84"/>
        <v>0.91507368509081344</v>
      </c>
      <c r="E114" s="2">
        <f t="shared" si="85"/>
        <v>-3.8543933540235775E-2</v>
      </c>
      <c r="F114" s="2">
        <f t="shared" si="86"/>
        <v>-2.1736534251089159</v>
      </c>
      <c r="G114" s="6">
        <f t="shared" si="87"/>
        <v>1.3260572114933779E-2</v>
      </c>
      <c r="H114" s="2">
        <f t="shared" si="92"/>
        <v>-0.29621568680955207</v>
      </c>
      <c r="I114" s="2">
        <f t="shared" si="88"/>
        <v>0.94672548918189381</v>
      </c>
      <c r="J114" s="4">
        <f t="shared" si="93"/>
        <v>0.7</v>
      </c>
      <c r="K114" s="8">
        <f t="shared" si="94"/>
        <v>1.0156062063988453E-3</v>
      </c>
      <c r="L114" s="9">
        <f t="shared" si="95"/>
        <v>105267110281052.58</v>
      </c>
      <c r="M114" s="6">
        <f t="shared" si="89"/>
        <v>1374452123685025</v>
      </c>
      <c r="N114" s="2">
        <f t="shared" si="90"/>
        <v>8.3333333333333339</v>
      </c>
      <c r="O114" s="12">
        <v>1200</v>
      </c>
      <c r="P114" s="13"/>
      <c r="Q114" s="6">
        <f t="shared" si="91"/>
        <v>1260636523739.2874</v>
      </c>
      <c r="R114" s="6"/>
      <c r="S114" s="6"/>
    </row>
    <row r="115" spans="4:19" ht="15.75">
      <c r="D115" s="2">
        <f t="shared" si="84"/>
        <v>0.91882051682756793</v>
      </c>
      <c r="E115" s="2">
        <f t="shared" si="85"/>
        <v>-3.6769315778365189E-2</v>
      </c>
      <c r="F115" s="2">
        <f t="shared" si="86"/>
        <v>-2.2654253856332347</v>
      </c>
      <c r="G115" s="6">
        <f t="shared" si="87"/>
        <v>1.07347096239023E-2</v>
      </c>
      <c r="H115" s="2">
        <f t="shared" si="92"/>
        <v>-0.29621568680955207</v>
      </c>
      <c r="I115" s="2">
        <f t="shared" si="88"/>
        <v>0.94672548918189381</v>
      </c>
      <c r="J115" s="4">
        <f t="shared" si="93"/>
        <v>0.7</v>
      </c>
      <c r="K115" s="8">
        <f t="shared" si="94"/>
        <v>9.3748265206047268E-4</v>
      </c>
      <c r="L115" s="9">
        <f t="shared" si="95"/>
        <v>109040548617475.11</v>
      </c>
      <c r="M115" s="6">
        <f t="shared" si="89"/>
        <v>1248576305990238</v>
      </c>
      <c r="N115" s="2">
        <f t="shared" si="90"/>
        <v>7.6923076923076925</v>
      </c>
      <c r="O115" s="12">
        <v>1300</v>
      </c>
      <c r="P115" s="13"/>
      <c r="Q115" s="6">
        <f t="shared" si="91"/>
        <v>1064074004033.6451</v>
      </c>
      <c r="R115" s="6"/>
      <c r="S115" s="6"/>
    </row>
    <row r="116" spans="4:19" ht="15.75">
      <c r="D116" s="2">
        <f>10^E116</f>
        <v>0.92483063645374186</v>
      </c>
      <c r="E116" s="2">
        <f>LOG(J116)/(1+(F116/(I116-0.14*F116))^2)</f>
        <v>-3.3937792004834794E-2</v>
      </c>
      <c r="F116" s="2">
        <f>LOG(G116)+H116</f>
        <v>-2.4294958594501841</v>
      </c>
      <c r="G116" s="6">
        <f>M116*K116/L116</f>
        <v>7.3573230774619152E-3</v>
      </c>
      <c r="H116" s="2">
        <f>-0.4-0.67*LOG(J116)</f>
        <v>-0.29621568680955207</v>
      </c>
      <c r="I116" s="2">
        <f>0.75-1.27*LOG(J116)</f>
        <v>0.94672548918189381</v>
      </c>
      <c r="J116" s="4">
        <f t="shared" si="93"/>
        <v>0.7</v>
      </c>
      <c r="K116" s="8">
        <f t="shared" si="94"/>
        <v>8.1248496511907627E-4</v>
      </c>
      <c r="L116" s="9">
        <f t="shared" si="95"/>
        <v>116126973303923.45</v>
      </c>
      <c r="M116" s="6">
        <f>$B$7*O116^$B$8*EXP(-$B$9/1.987/O116)</f>
        <v>1051568579462320.1</v>
      </c>
      <c r="N116" s="2">
        <f>10000/O116</f>
        <v>6.666666666666667</v>
      </c>
      <c r="O116" s="12">
        <v>1500</v>
      </c>
      <c r="P116" s="13"/>
      <c r="Q116" s="6">
        <f>L116/(1+L116/M116/K116)*D116</f>
        <v>784389179997.07385</v>
      </c>
      <c r="R116" s="6"/>
      <c r="S116" s="6"/>
    </row>
    <row r="117" spans="4:19" ht="15.75">
      <c r="D117" s="2">
        <f>10^E117</f>
        <v>0.93140339528958926</v>
      </c>
      <c r="E117" s="2">
        <f>LOG(J117)/(1+(F117/(I117-0.14*F117))^2)</f>
        <v>-3.0862183245841265E-2</v>
      </c>
      <c r="F117" s="2">
        <f>LOG(G117)+H117</f>
        <v>-2.6385343490159143</v>
      </c>
      <c r="G117" s="6">
        <f>M117*K117/L117</f>
        <v>4.5465433654520767E-3</v>
      </c>
      <c r="H117" s="2">
        <f>-0.4-0.67*LOG(J117)</f>
        <v>-0.29621568680955207</v>
      </c>
      <c r="I117" s="2">
        <f>0.75-1.27*LOG(J117)</f>
        <v>0.94672548918189381</v>
      </c>
      <c r="J117" s="4">
        <f t="shared" si="93"/>
        <v>0.7</v>
      </c>
      <c r="K117" s="8">
        <f t="shared" si="94"/>
        <v>6.7707080426589682E-4</v>
      </c>
      <c r="L117" s="9">
        <f t="shared" si="95"/>
        <v>125826714030766.56</v>
      </c>
      <c r="M117" s="6">
        <f>$B$7*O117^$B$8*EXP(-$B$9/1.987/O117)</f>
        <v>844928784801882.5</v>
      </c>
      <c r="N117" s="2">
        <f>10000/O117</f>
        <v>5.5555555555555554</v>
      </c>
      <c r="O117" s="12">
        <v>1800</v>
      </c>
      <c r="P117" s="13"/>
      <c r="Q117" s="6">
        <f>L117/(1+L117/M117/K117)*D117</f>
        <v>530422509722.01611</v>
      </c>
      <c r="R117" s="6"/>
      <c r="S117" s="6"/>
    </row>
    <row r="118" spans="4:19">
      <c r="D118" s="2" t="s">
        <v>4</v>
      </c>
      <c r="E118" s="2" t="s">
        <v>5</v>
      </c>
      <c r="F118" t="s">
        <v>6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12</v>
      </c>
      <c r="M118" t="s">
        <v>13</v>
      </c>
      <c r="N118" t="s">
        <v>14</v>
      </c>
      <c r="P118">
        <v>380000</v>
      </c>
      <c r="Q118" t="s">
        <v>16</v>
      </c>
      <c r="R118" t="s">
        <v>51</v>
      </c>
    </row>
    <row r="119" spans="4:19" ht="15.75">
      <c r="D119" s="2">
        <f t="shared" ref="D119:D131" si="96">10^E119</f>
        <v>0.70374920102284144</v>
      </c>
      <c r="E119" s="2">
        <f t="shared" ref="E119:E129" si="97">LOG(J119)/(1+(F119/(I119-0.14*F119))^2)</f>
        <v>-0.15258208520144007</v>
      </c>
      <c r="F119" s="2">
        <f t="shared" ref="F119:F129" si="98">LOG(G119)+H119</f>
        <v>0.1147549563329241</v>
      </c>
      <c r="G119" s="6">
        <f t="shared" ref="G119:G129" si="99">M119*K119/L119</f>
        <v>2.576147012176675</v>
      </c>
      <c r="H119" s="2">
        <f>-0.4-0.67*LOG(J119)</f>
        <v>-0.29621568680955207</v>
      </c>
      <c r="I119" s="2">
        <f t="shared" ref="I119:I129" si="100">0.75-1.27*LOG(J119)</f>
        <v>0.94672548918189381</v>
      </c>
      <c r="J119" s="4">
        <f>(1-$B$10)*EXP(-O119/$B$11)+$B$10*EXP(-O119/$B$12)+EXP(-B$13/O119)</f>
        <v>0.7</v>
      </c>
      <c r="K119" s="8">
        <f>$P$118*101325/760/8.314/O119/1000000</f>
        <v>2.0312124127976904E-2</v>
      </c>
      <c r="L119" s="9">
        <f>B$4*O119^B$5*EXP(-B$6/1.987/O119)</f>
        <v>57198719309897.531</v>
      </c>
      <c r="M119" s="6">
        <f t="shared" ref="M119:M129" si="101">$B$7*O119^$B$8*EXP(-$B$9/1.987/O119)</f>
        <v>7254401800723988</v>
      </c>
      <c r="N119" s="2">
        <f t="shared" ref="N119:N129" si="102">10000/O119</f>
        <v>33.333333333333336</v>
      </c>
      <c r="O119" s="12">
        <v>300</v>
      </c>
      <c r="P119" s="13"/>
      <c r="Q119" s="6">
        <f t="shared" ref="Q119:Q129" si="103">L119/(1+L119/M119/K119)*D119</f>
        <v>28997429348705.387</v>
      </c>
      <c r="R119" s="6"/>
      <c r="S119" s="6"/>
    </row>
    <row r="120" spans="4:19" ht="15.75">
      <c r="D120" s="2">
        <f t="shared" si="96"/>
        <v>0.71164033420679285</v>
      </c>
      <c r="E120" s="2">
        <f t="shared" si="97"/>
        <v>-0.14773944503580455</v>
      </c>
      <c r="F120" s="2">
        <f t="shared" si="98"/>
        <v>-0.21508330831298778</v>
      </c>
      <c r="G120" s="6">
        <f t="shared" si="99"/>
        <v>1.2054033066801551</v>
      </c>
      <c r="H120" s="2">
        <f t="shared" ref="H120:H129" si="104">-0.4-0.67*LOG(J120)</f>
        <v>-0.29621568680955207</v>
      </c>
      <c r="I120" s="2">
        <f t="shared" si="100"/>
        <v>0.94672548918189381</v>
      </c>
      <c r="J120" s="4">
        <f t="shared" ref="J120:J131" si="105">(1-$B$10)*EXP(-O120/$B$11)+$B$10*EXP(-O120/$B$12)+EXP(-B$13/O120)</f>
        <v>0.7</v>
      </c>
      <c r="K120" s="8">
        <f t="shared" ref="K120:K131" si="106">$P$118*101325/760/8.314/O120/1000000</f>
        <v>1.5234093095982681E-2</v>
      </c>
      <c r="L120" s="9">
        <f t="shared" ref="L120:L131" si="107">B$4*O120^B$5*EXP(-B$6/1.987/O120)</f>
        <v>64917135642202.219</v>
      </c>
      <c r="M120" s="6">
        <f t="shared" si="101"/>
        <v>5136592606484073</v>
      </c>
      <c r="N120" s="2">
        <f t="shared" si="102"/>
        <v>25</v>
      </c>
      <c r="O120" s="12">
        <v>400</v>
      </c>
      <c r="P120" s="13"/>
      <c r="Q120" s="6">
        <f t="shared" si="103"/>
        <v>25250167367820.781</v>
      </c>
      <c r="R120" s="6"/>
      <c r="S120" s="6"/>
    </row>
    <row r="121" spans="4:19" ht="15.75">
      <c r="D121" s="2">
        <f t="shared" si="96"/>
        <v>0.745832048563289</v>
      </c>
      <c r="E121" s="2">
        <f t="shared" si="97"/>
        <v>-0.12735895884660181</v>
      </c>
      <c r="F121" s="2">
        <f t="shared" si="98"/>
        <v>-0.47092574265425668</v>
      </c>
      <c r="G121" s="6">
        <f t="shared" si="99"/>
        <v>0.66879026704279454</v>
      </c>
      <c r="H121" s="2">
        <f t="shared" si="104"/>
        <v>-0.29621568680955207</v>
      </c>
      <c r="I121" s="2">
        <f t="shared" si="100"/>
        <v>0.94672548918189381</v>
      </c>
      <c r="J121" s="4">
        <f t="shared" si="105"/>
        <v>0.7</v>
      </c>
      <c r="K121" s="8">
        <f t="shared" si="106"/>
        <v>1.2187274476786143E-2</v>
      </c>
      <c r="L121" s="9">
        <f t="shared" si="107"/>
        <v>71614300587921.641</v>
      </c>
      <c r="M121" s="6">
        <f t="shared" si="101"/>
        <v>3929914543691253</v>
      </c>
      <c r="N121" s="2">
        <f t="shared" si="102"/>
        <v>20</v>
      </c>
      <c r="O121" s="12">
        <v>500</v>
      </c>
      <c r="P121" s="13"/>
      <c r="Q121" s="6">
        <f t="shared" si="103"/>
        <v>21405677694871.352</v>
      </c>
      <c r="R121" s="6"/>
      <c r="S121" s="6"/>
    </row>
    <row r="122" spans="4:19" ht="15.75">
      <c r="D122" s="2">
        <f t="shared" si="96"/>
        <v>0.77869096150635575</v>
      </c>
      <c r="E122" s="2">
        <f t="shared" si="97"/>
        <v>-0.10863486625761558</v>
      </c>
      <c r="F122" s="2">
        <f t="shared" si="98"/>
        <v>-0.67996423221998636</v>
      </c>
      <c r="G122" s="6">
        <f t="shared" si="99"/>
        <v>0.41328672391960525</v>
      </c>
      <c r="H122" s="2">
        <f t="shared" si="104"/>
        <v>-0.29621568680955207</v>
      </c>
      <c r="I122" s="2">
        <f t="shared" si="100"/>
        <v>0.94672548918189381</v>
      </c>
      <c r="J122" s="4">
        <f t="shared" si="105"/>
        <v>0.7</v>
      </c>
      <c r="K122" s="8">
        <f t="shared" si="106"/>
        <v>1.0156062063988452E-2</v>
      </c>
      <c r="L122" s="9">
        <f t="shared" si="107"/>
        <v>77596030140271.719</v>
      </c>
      <c r="M122" s="6">
        <f t="shared" si="101"/>
        <v>3157661786998342</v>
      </c>
      <c r="N122" s="2">
        <f t="shared" si="102"/>
        <v>16.666666666666668</v>
      </c>
      <c r="O122" s="12">
        <v>600</v>
      </c>
      <c r="P122" s="13"/>
      <c r="Q122" s="6">
        <f t="shared" si="103"/>
        <v>17669563134885.734</v>
      </c>
      <c r="R122" s="6"/>
      <c r="S122" s="6"/>
    </row>
    <row r="123" spans="4:19" ht="15.75">
      <c r="D123" s="2">
        <f t="shared" si="96"/>
        <v>0.80507921502315294</v>
      </c>
      <c r="E123" s="2">
        <f t="shared" si="97"/>
        <v>-9.4161385526696298E-2</v>
      </c>
      <c r="F123" s="2">
        <f t="shared" si="98"/>
        <v>-0.85670375684480504</v>
      </c>
      <c r="G123" s="6">
        <f t="shared" si="99"/>
        <v>0.27511351769726383</v>
      </c>
      <c r="H123" s="2">
        <f t="shared" si="104"/>
        <v>-0.29621568680955207</v>
      </c>
      <c r="I123" s="2">
        <f t="shared" si="100"/>
        <v>0.94672548918189381</v>
      </c>
      <c r="J123" s="4">
        <f t="shared" si="105"/>
        <v>0.7</v>
      </c>
      <c r="K123" s="8">
        <f t="shared" si="106"/>
        <v>8.7051960548472449E-3</v>
      </c>
      <c r="L123" s="9">
        <f t="shared" si="107"/>
        <v>83041673073623.266</v>
      </c>
      <c r="M123" s="6">
        <f t="shared" si="101"/>
        <v>2624396584615640</v>
      </c>
      <c r="N123" s="2">
        <f t="shared" si="102"/>
        <v>14.285714285714286</v>
      </c>
      <c r="O123" s="12">
        <v>700</v>
      </c>
      <c r="P123" s="13"/>
      <c r="Q123" s="6">
        <f t="shared" si="103"/>
        <v>14424400927410.18</v>
      </c>
      <c r="R123" s="6"/>
      <c r="S123" s="6"/>
    </row>
    <row r="124" spans="4:19" ht="15.75">
      <c r="D124" s="2">
        <f t="shared" si="96"/>
        <v>0.8256119952464086</v>
      </c>
      <c r="E124" s="2">
        <f t="shared" si="97"/>
        <v>-8.3224005843462526E-2</v>
      </c>
      <c r="F124" s="2">
        <f t="shared" si="98"/>
        <v>-1.0098024968658978</v>
      </c>
      <c r="G124" s="6">
        <f t="shared" si="99"/>
        <v>0.19338072760015898</v>
      </c>
      <c r="H124" s="2">
        <f t="shared" si="104"/>
        <v>-0.29621568680955207</v>
      </c>
      <c r="I124" s="2">
        <f t="shared" si="100"/>
        <v>0.94672548918189381</v>
      </c>
      <c r="J124" s="4">
        <f t="shared" si="105"/>
        <v>0.7</v>
      </c>
      <c r="K124" s="8">
        <f t="shared" si="106"/>
        <v>7.6170465479913404E-3</v>
      </c>
      <c r="L124" s="9">
        <f t="shared" si="107"/>
        <v>88066867137719.016</v>
      </c>
      <c r="M124" s="6">
        <f t="shared" si="101"/>
        <v>2235831793498709.7</v>
      </c>
      <c r="N124" s="2">
        <f t="shared" si="102"/>
        <v>12.5</v>
      </c>
      <c r="O124" s="12">
        <v>800</v>
      </c>
      <c r="P124" s="13"/>
      <c r="Q124" s="6">
        <f t="shared" si="103"/>
        <v>11782100185416.252</v>
      </c>
      <c r="R124" s="6"/>
      <c r="S124" s="6"/>
    </row>
    <row r="125" spans="4:19" ht="15.75">
      <c r="D125" s="2">
        <f t="shared" si="96"/>
        <v>0.84168840682975887</v>
      </c>
      <c r="E125" s="2">
        <f t="shared" si="97"/>
        <v>-7.4848654628233119E-2</v>
      </c>
      <c r="F125" s="2">
        <f t="shared" si="98"/>
        <v>-1.1448451561269852</v>
      </c>
      <c r="G125" s="6">
        <f t="shared" si="99"/>
        <v>0.14170022201002808</v>
      </c>
      <c r="H125" s="2">
        <f t="shared" si="104"/>
        <v>-0.29621568680955207</v>
      </c>
      <c r="I125" s="2">
        <f t="shared" si="100"/>
        <v>0.94672548918189381</v>
      </c>
      <c r="J125" s="4">
        <f t="shared" si="105"/>
        <v>0.7</v>
      </c>
      <c r="K125" s="8">
        <f t="shared" si="106"/>
        <v>6.7707080426589695E-3</v>
      </c>
      <c r="L125" s="9">
        <f t="shared" si="107"/>
        <v>92751225604224.75</v>
      </c>
      <c r="M125" s="6">
        <f t="shared" si="101"/>
        <v>1941136610383132.7</v>
      </c>
      <c r="N125" s="2">
        <f t="shared" si="102"/>
        <v>11.111111111111111</v>
      </c>
      <c r="O125" s="12">
        <v>900</v>
      </c>
      <c r="P125" s="13"/>
      <c r="Q125" s="6">
        <f t="shared" si="103"/>
        <v>9689234069688.4414</v>
      </c>
      <c r="R125" s="6"/>
      <c r="S125" s="6"/>
    </row>
    <row r="126" spans="4:19" ht="15.75">
      <c r="D126" s="2">
        <f t="shared" si="96"/>
        <v>0.85448477115688082</v>
      </c>
      <c r="E126" s="2">
        <f t="shared" si="97"/>
        <v>-6.8295672980071165E-2</v>
      </c>
      <c r="F126" s="2">
        <f t="shared" si="98"/>
        <v>-1.2656449312071669</v>
      </c>
      <c r="G126" s="6">
        <f t="shared" si="99"/>
        <v>0.10729284359509163</v>
      </c>
      <c r="H126" s="2">
        <f t="shared" si="104"/>
        <v>-0.29621568680955207</v>
      </c>
      <c r="I126" s="2">
        <f t="shared" si="100"/>
        <v>0.94672548918189381</v>
      </c>
      <c r="J126" s="4">
        <f t="shared" si="105"/>
        <v>0.7</v>
      </c>
      <c r="K126" s="8">
        <f t="shared" si="106"/>
        <v>6.0936372383930716E-3</v>
      </c>
      <c r="L126" s="9">
        <f t="shared" si="107"/>
        <v>97152270084712.828</v>
      </c>
      <c r="M126" s="6">
        <f t="shared" si="101"/>
        <v>1710594659858025.2</v>
      </c>
      <c r="N126" s="2">
        <f t="shared" si="102"/>
        <v>10</v>
      </c>
      <c r="O126" s="12">
        <v>1000</v>
      </c>
      <c r="P126" s="13"/>
      <c r="Q126" s="6">
        <f t="shared" si="103"/>
        <v>8043879246710.2842</v>
      </c>
      <c r="R126" s="6"/>
      <c r="S126" s="6"/>
    </row>
    <row r="127" spans="4:19" ht="15.75">
      <c r="D127" s="2">
        <f t="shared" si="96"/>
        <v>0.86485831667914959</v>
      </c>
      <c r="E127" s="2">
        <f t="shared" si="97"/>
        <v>-6.3055033950603884E-2</v>
      </c>
      <c r="F127" s="2">
        <f t="shared" si="98"/>
        <v>-1.3749216200248813</v>
      </c>
      <c r="G127" s="6">
        <f t="shared" si="99"/>
        <v>8.3424587280765114E-2</v>
      </c>
      <c r="H127" s="2">
        <f t="shared" si="104"/>
        <v>-0.29621568680955207</v>
      </c>
      <c r="I127" s="2">
        <f t="shared" si="100"/>
        <v>0.94672548918189381</v>
      </c>
      <c r="J127" s="4">
        <f t="shared" si="105"/>
        <v>0.7</v>
      </c>
      <c r="K127" s="8">
        <f t="shared" si="106"/>
        <v>5.5396702167209745E-3</v>
      </c>
      <c r="L127" s="9">
        <f t="shared" si="107"/>
        <v>101313130365237.22</v>
      </c>
      <c r="M127" s="6">
        <f t="shared" si="101"/>
        <v>1525723690433896.2</v>
      </c>
      <c r="N127" s="2">
        <f t="shared" si="102"/>
        <v>9.0909090909090917</v>
      </c>
      <c r="O127" s="12">
        <v>1100</v>
      </c>
      <c r="P127" s="13"/>
      <c r="Q127" s="6">
        <f t="shared" si="103"/>
        <v>6746928067393.0527</v>
      </c>
      <c r="R127" s="6"/>
      <c r="S127" s="6"/>
    </row>
    <row r="128" spans="4:19" ht="15.75">
      <c r="D128" s="2">
        <f t="shared" si="96"/>
        <v>0.87341530099773068</v>
      </c>
      <c r="E128" s="2">
        <f t="shared" si="97"/>
        <v>-5.8779204124462255E-2</v>
      </c>
      <c r="F128" s="2">
        <f t="shared" si="98"/>
        <v>-1.4746834207728972</v>
      </c>
      <c r="G128" s="6">
        <f t="shared" si="99"/>
        <v>6.6302860574668887E-2</v>
      </c>
      <c r="H128" s="2">
        <f t="shared" si="104"/>
        <v>-0.29621568680955207</v>
      </c>
      <c r="I128" s="2">
        <f t="shared" si="100"/>
        <v>0.94672548918189381</v>
      </c>
      <c r="J128" s="4">
        <f t="shared" si="105"/>
        <v>0.7</v>
      </c>
      <c r="K128" s="8">
        <f t="shared" si="106"/>
        <v>5.0780310319942261E-3</v>
      </c>
      <c r="L128" s="9">
        <f t="shared" si="107"/>
        <v>105267110281052.58</v>
      </c>
      <c r="M128" s="6">
        <f t="shared" si="101"/>
        <v>1374452123685025</v>
      </c>
      <c r="N128" s="2">
        <f t="shared" si="102"/>
        <v>8.3333333333333339</v>
      </c>
      <c r="O128" s="12">
        <v>1200</v>
      </c>
      <c r="P128" s="13"/>
      <c r="Q128" s="6">
        <f t="shared" si="103"/>
        <v>5716960463171.6641</v>
      </c>
      <c r="R128" s="6"/>
      <c r="S128" s="6"/>
    </row>
    <row r="129" spans="4:19" ht="15.75">
      <c r="D129" s="2">
        <f t="shared" si="96"/>
        <v>0.88058558651676899</v>
      </c>
      <c r="E129" s="2">
        <f t="shared" si="97"/>
        <v>-5.5228427379174806E-2</v>
      </c>
      <c r="F129" s="2">
        <f t="shared" si="98"/>
        <v>-1.5664553812972162</v>
      </c>
      <c r="G129" s="6">
        <f t="shared" si="99"/>
        <v>5.3673548119511479E-2</v>
      </c>
      <c r="H129" s="2">
        <f t="shared" si="104"/>
        <v>-0.29621568680955207</v>
      </c>
      <c r="I129" s="2">
        <f t="shared" si="100"/>
        <v>0.94672548918189381</v>
      </c>
      <c r="J129" s="4">
        <f t="shared" si="105"/>
        <v>0.7</v>
      </c>
      <c r="K129" s="8">
        <f t="shared" si="106"/>
        <v>4.6874132603023626E-3</v>
      </c>
      <c r="L129" s="9">
        <f t="shared" si="107"/>
        <v>109040548617475.11</v>
      </c>
      <c r="M129" s="6">
        <f t="shared" si="101"/>
        <v>1248576305990238</v>
      </c>
      <c r="N129" s="2">
        <f t="shared" si="102"/>
        <v>7.6923076923076925</v>
      </c>
      <c r="O129" s="12">
        <v>1300</v>
      </c>
      <c r="P129" s="13"/>
      <c r="Q129" s="6">
        <f t="shared" si="103"/>
        <v>4891182061122.2246</v>
      </c>
      <c r="R129" s="6"/>
      <c r="S129" s="6"/>
    </row>
    <row r="130" spans="4:19" ht="15.75">
      <c r="D130" s="2">
        <f t="shared" si="96"/>
        <v>0.89191878145934389</v>
      </c>
      <c r="E130" s="2">
        <f>LOG(J130)/(1+(F130/(I130-0.14*F130))^2)</f>
        <v>-4.967469088168365E-2</v>
      </c>
      <c r="F130" s="2">
        <f>LOG(G130)+H130</f>
        <v>-1.7305258551141653</v>
      </c>
      <c r="G130" s="6">
        <f>M130*K130/L130</f>
        <v>3.6786615387309575E-2</v>
      </c>
      <c r="H130" s="2">
        <f>-0.4-0.67*LOG(J130)</f>
        <v>-0.29621568680955207</v>
      </c>
      <c r="I130" s="2">
        <f>0.75-1.27*LOG(J130)</f>
        <v>0.94672548918189381</v>
      </c>
      <c r="J130" s="4">
        <f t="shared" si="105"/>
        <v>0.7</v>
      </c>
      <c r="K130" s="8">
        <f t="shared" si="106"/>
        <v>4.0624248255953814E-3</v>
      </c>
      <c r="L130" s="9">
        <f t="shared" si="107"/>
        <v>116126973303923.45</v>
      </c>
      <c r="M130" s="6">
        <f>$B$7*O130^$B$8*EXP(-$B$9/1.987/O130)</f>
        <v>1051568579462320.1</v>
      </c>
      <c r="N130" s="2">
        <f>10000/O130</f>
        <v>6.666666666666667</v>
      </c>
      <c r="O130" s="12">
        <v>1500</v>
      </c>
      <c r="P130" s="13"/>
      <c r="Q130" s="6">
        <f>L130/(1+L130/M130/K130)*D130</f>
        <v>3675012881897.0981</v>
      </c>
      <c r="R130" s="6"/>
      <c r="S130" s="6"/>
    </row>
    <row r="131" spans="4:19" ht="15.75">
      <c r="D131" s="2">
        <f t="shared" si="96"/>
        <v>0.90401716123831277</v>
      </c>
      <c r="E131" s="2">
        <f>LOG(J131)/(1+(F131/(I131-0.14*F131))^2)</f>
        <v>-4.3823325099459916E-2</v>
      </c>
      <c r="F131" s="2">
        <f>LOG(G131)+H131</f>
        <v>-1.9395643446798954</v>
      </c>
      <c r="G131" s="6">
        <f>M131*K131/L131</f>
        <v>2.2732716827260389E-2</v>
      </c>
      <c r="H131" s="2">
        <f>-0.4-0.67*LOG(J131)</f>
        <v>-0.29621568680955207</v>
      </c>
      <c r="I131" s="2">
        <f>0.75-1.27*LOG(J131)</f>
        <v>0.94672548918189381</v>
      </c>
      <c r="J131" s="4">
        <f t="shared" si="105"/>
        <v>0.7</v>
      </c>
      <c r="K131" s="8">
        <f t="shared" si="106"/>
        <v>3.3853540213294848E-3</v>
      </c>
      <c r="L131" s="9">
        <f t="shared" si="107"/>
        <v>125826714030766.56</v>
      </c>
      <c r="M131" s="6">
        <f>$B$7*O131^$B$8*EXP(-$B$9/1.987/O131)</f>
        <v>844928784801882.5</v>
      </c>
      <c r="N131" s="2">
        <f>10000/O131</f>
        <v>5.5555555555555554</v>
      </c>
      <c r="O131" s="12">
        <v>1800</v>
      </c>
      <c r="P131" s="13"/>
      <c r="Q131" s="6">
        <f>L131/(1+L131/M131/K131)*D131</f>
        <v>2528358906327.0757</v>
      </c>
      <c r="R131" s="6"/>
      <c r="S131" s="6"/>
    </row>
    <row r="132" spans="4:19">
      <c r="D132" s="2"/>
      <c r="E132" s="2"/>
      <c r="R132" s="6"/>
      <c r="S132" s="6"/>
    </row>
    <row r="133" spans="4:19" ht="15.75">
      <c r="D133" s="2"/>
      <c r="E133" s="2"/>
      <c r="F133" s="2"/>
      <c r="G133" s="6"/>
      <c r="H133" s="2"/>
      <c r="I133" s="2"/>
      <c r="J133" s="4"/>
      <c r="K133" s="8"/>
      <c r="L133" s="9"/>
      <c r="M133" s="6"/>
      <c r="N133" s="2"/>
      <c r="O133" s="12"/>
      <c r="P133" s="13"/>
      <c r="Q133" s="6"/>
      <c r="R133" s="6"/>
    </row>
    <row r="134" spans="4:19" ht="15.75">
      <c r="D134" s="2"/>
      <c r="E134" s="2"/>
      <c r="F134" s="2"/>
      <c r="G134" s="6"/>
      <c r="H134" s="2"/>
      <c r="I134" s="2"/>
      <c r="J134" s="4"/>
      <c r="K134" s="8"/>
      <c r="L134" s="9"/>
      <c r="M134" s="6"/>
      <c r="N134" s="2"/>
      <c r="O134" s="12"/>
      <c r="P134" s="13"/>
      <c r="Q134" s="6"/>
      <c r="R134" s="6"/>
      <c r="S134" s="6"/>
    </row>
    <row r="135" spans="4:19" ht="15.75">
      <c r="D135" s="2"/>
      <c r="E135" s="2"/>
      <c r="F135" s="2"/>
      <c r="G135" s="6"/>
      <c r="H135" s="2"/>
      <c r="I135" s="2"/>
      <c r="J135" s="4"/>
      <c r="K135" s="8"/>
      <c r="L135" s="9"/>
      <c r="M135" s="6"/>
      <c r="N135" s="2"/>
      <c r="O135" s="12"/>
      <c r="P135" s="13"/>
      <c r="Q135" s="6"/>
      <c r="R135" s="6"/>
      <c r="S135" s="6"/>
    </row>
    <row r="136" spans="4:19" ht="15.75">
      <c r="D136" s="2"/>
      <c r="E136" s="2"/>
      <c r="F136" s="2"/>
      <c r="G136" s="6"/>
      <c r="H136" s="2"/>
      <c r="I136" s="2"/>
      <c r="J136" s="4"/>
      <c r="K136" s="8"/>
      <c r="L136" s="9"/>
      <c r="M136" s="6"/>
      <c r="N136" s="2"/>
      <c r="O136" s="12"/>
      <c r="P136" s="13"/>
      <c r="Q136" s="6"/>
      <c r="R136" s="6"/>
    </row>
    <row r="137" spans="4:19" ht="15.75">
      <c r="D137" s="2"/>
      <c r="E137" s="2"/>
      <c r="F137" s="2"/>
      <c r="G137" s="6"/>
      <c r="H137" s="2"/>
      <c r="I137" s="2"/>
      <c r="J137" s="4"/>
      <c r="K137" s="8"/>
      <c r="L137" s="9"/>
      <c r="M137" s="6"/>
      <c r="N137" s="2"/>
      <c r="O137" s="12"/>
      <c r="P137" s="13"/>
      <c r="Q137" s="6"/>
      <c r="R137" s="6"/>
    </row>
    <row r="138" spans="4:19" ht="15.75">
      <c r="D138" s="2"/>
      <c r="E138" s="2"/>
      <c r="F138" s="2"/>
      <c r="G138" s="6"/>
      <c r="H138" s="2"/>
      <c r="I138" s="2"/>
      <c r="J138" s="4"/>
      <c r="K138" s="8"/>
      <c r="L138" s="9"/>
      <c r="M138" s="6"/>
      <c r="N138" s="2"/>
      <c r="O138" s="12"/>
      <c r="P138" s="13"/>
      <c r="Q138" s="6"/>
      <c r="R138" s="6"/>
    </row>
    <row r="139" spans="4:19" ht="15.75">
      <c r="D139" s="2"/>
      <c r="E139" s="2"/>
      <c r="F139" s="2"/>
      <c r="G139" s="6"/>
      <c r="H139" s="2"/>
      <c r="I139" s="2"/>
      <c r="J139" s="4"/>
      <c r="K139" s="8"/>
      <c r="L139" s="9"/>
      <c r="M139" s="6"/>
      <c r="N139" s="2"/>
      <c r="O139" s="12"/>
      <c r="P139" s="13"/>
      <c r="Q139" s="6"/>
      <c r="R139" s="6"/>
      <c r="S139" s="6"/>
    </row>
    <row r="140" spans="4:19" ht="15.75">
      <c r="D140" s="2"/>
      <c r="E140" s="2"/>
      <c r="F140" s="2"/>
      <c r="G140" s="6"/>
      <c r="H140" s="2"/>
      <c r="I140" s="2"/>
      <c r="J140" s="4"/>
      <c r="K140" s="8"/>
      <c r="L140" s="9"/>
      <c r="M140" s="6"/>
      <c r="N140" s="2"/>
      <c r="O140" s="12"/>
      <c r="P140" s="13"/>
      <c r="Q140" s="6"/>
      <c r="R140" s="6"/>
    </row>
    <row r="141" spans="4:19" ht="15.75">
      <c r="D141" s="2"/>
      <c r="E141" s="2"/>
      <c r="F141" s="2"/>
      <c r="G141" s="6"/>
      <c r="H141" s="2"/>
      <c r="I141" s="2"/>
      <c r="J141" s="4"/>
      <c r="K141" s="8"/>
      <c r="L141" s="9"/>
      <c r="M141" s="6"/>
      <c r="N141" s="2"/>
      <c r="O141" s="12"/>
      <c r="P141" s="13"/>
      <c r="Q141" s="6"/>
      <c r="R141" s="6"/>
    </row>
    <row r="142" spans="4:19" ht="15.75">
      <c r="D142" s="2"/>
      <c r="E142" s="2"/>
      <c r="F142" s="2"/>
      <c r="G142" s="6"/>
      <c r="H142" s="2"/>
      <c r="I142" s="2"/>
      <c r="J142" s="4"/>
      <c r="K142" s="8"/>
      <c r="L142" s="9"/>
      <c r="M142" s="6"/>
      <c r="N142" s="2"/>
      <c r="O142" s="12"/>
      <c r="P142" s="13"/>
      <c r="Q142" s="6"/>
    </row>
    <row r="143" spans="4:19" ht="15.75">
      <c r="D143" s="2"/>
      <c r="E143" s="2"/>
      <c r="F143" s="2"/>
      <c r="G143" s="6"/>
      <c r="H143" s="2"/>
      <c r="I143" s="2"/>
      <c r="J143" s="4"/>
      <c r="K143" s="8"/>
      <c r="L143" s="9"/>
      <c r="M143" s="6"/>
      <c r="N143" s="2"/>
      <c r="O143" s="12"/>
      <c r="P143" s="13"/>
      <c r="Q143" s="6"/>
      <c r="R143" s="6"/>
    </row>
    <row r="144" spans="4:19" ht="15.75">
      <c r="D144" s="2"/>
      <c r="E144" s="2"/>
      <c r="F144" s="2"/>
      <c r="G144" s="6"/>
      <c r="H144" s="2"/>
      <c r="I144" s="2"/>
      <c r="J144" s="4"/>
      <c r="K144" s="8"/>
      <c r="L144" s="9"/>
      <c r="M144" s="6"/>
      <c r="N144" s="2"/>
      <c r="O144" s="12"/>
      <c r="P144" s="13"/>
      <c r="Q144" s="6"/>
      <c r="R144" s="6"/>
    </row>
    <row r="145" spans="4:19" ht="15.75">
      <c r="D145" s="2"/>
      <c r="E145" s="2"/>
      <c r="F145" s="2"/>
      <c r="G145" s="6"/>
      <c r="H145" s="2"/>
      <c r="I145" s="2"/>
      <c r="J145" s="4"/>
      <c r="K145" s="8"/>
      <c r="L145" s="9"/>
      <c r="M145" s="6"/>
      <c r="N145" s="2"/>
      <c r="O145" s="12"/>
      <c r="P145" s="13"/>
      <c r="Q145" s="6"/>
      <c r="R145" s="6"/>
    </row>
    <row r="146" spans="4:19">
      <c r="D146" s="2"/>
      <c r="E146" s="2"/>
      <c r="R146" s="6"/>
    </row>
    <row r="147" spans="4:19" ht="15.75">
      <c r="D147" s="2"/>
      <c r="E147" s="2"/>
      <c r="F147" s="2"/>
      <c r="G147" s="6"/>
      <c r="H147" s="2"/>
      <c r="I147" s="2"/>
      <c r="J147" s="4"/>
      <c r="K147" s="8"/>
      <c r="L147" s="9"/>
      <c r="M147" s="6"/>
      <c r="N147" s="2"/>
      <c r="O147" s="12"/>
      <c r="P147" s="13"/>
      <c r="Q147" s="6"/>
      <c r="R147" s="6"/>
      <c r="S147" s="6"/>
    </row>
    <row r="148" spans="4:19" ht="15.75">
      <c r="D148" s="2"/>
      <c r="E148" s="2"/>
      <c r="F148" s="2"/>
      <c r="G148" s="6"/>
      <c r="H148" s="2"/>
      <c r="I148" s="2"/>
      <c r="J148" s="4"/>
      <c r="K148" s="8"/>
      <c r="L148" s="9"/>
      <c r="M148" s="6"/>
      <c r="N148" s="2"/>
      <c r="O148" s="12"/>
      <c r="P148" s="13"/>
      <c r="Q148" s="6"/>
      <c r="R148" s="6"/>
      <c r="S148" s="6"/>
    </row>
    <row r="149" spans="4:19" ht="15.75">
      <c r="D149" s="2"/>
      <c r="E149" s="2"/>
      <c r="F149" s="2"/>
      <c r="G149" s="6"/>
      <c r="H149" s="2"/>
      <c r="I149" s="2"/>
      <c r="J149" s="4"/>
      <c r="K149" s="8"/>
      <c r="L149" s="9"/>
      <c r="M149" s="6"/>
      <c r="N149" s="2"/>
      <c r="O149" s="12"/>
      <c r="P149" s="13"/>
      <c r="Q149" s="6"/>
      <c r="R149" s="6"/>
      <c r="S149" s="6"/>
    </row>
    <row r="150" spans="4:19" ht="15.75">
      <c r="D150" s="2"/>
      <c r="E150" s="2"/>
      <c r="F150" s="2"/>
      <c r="G150" s="6"/>
      <c r="H150" s="2"/>
      <c r="I150" s="2"/>
      <c r="J150" s="4"/>
      <c r="K150" s="8"/>
      <c r="L150" s="9"/>
      <c r="M150" s="6"/>
      <c r="N150" s="2"/>
      <c r="O150" s="12"/>
      <c r="P150" s="13"/>
      <c r="Q150" s="6"/>
      <c r="R150" s="6"/>
      <c r="S150" s="6"/>
    </row>
    <row r="151" spans="4:19" ht="15.75">
      <c r="D151" s="2"/>
      <c r="E151" s="2"/>
      <c r="F151" s="2"/>
      <c r="G151" s="6"/>
      <c r="H151" s="2"/>
      <c r="I151" s="2"/>
      <c r="J151" s="4"/>
      <c r="K151" s="8"/>
      <c r="L151" s="9"/>
      <c r="M151" s="6"/>
      <c r="N151" s="2"/>
      <c r="O151" s="12"/>
      <c r="P151" s="13"/>
      <c r="Q151" s="6"/>
      <c r="R151" s="6"/>
      <c r="S151" s="6"/>
    </row>
    <row r="152" spans="4:19" ht="15.75">
      <c r="D152" s="2"/>
      <c r="E152" s="2"/>
      <c r="F152" s="2"/>
      <c r="G152" s="6"/>
      <c r="H152" s="2"/>
      <c r="I152" s="2"/>
      <c r="J152" s="4"/>
      <c r="K152" s="8"/>
      <c r="L152" s="9"/>
      <c r="M152" s="6"/>
      <c r="N152" s="2"/>
      <c r="O152" s="12"/>
      <c r="P152" s="13"/>
      <c r="Q152" s="6"/>
      <c r="R152" s="6"/>
      <c r="S152" s="6"/>
    </row>
    <row r="153" spans="4:19" ht="15.75">
      <c r="D153" s="2"/>
      <c r="E153" s="2"/>
      <c r="F153" s="2"/>
      <c r="G153" s="6"/>
      <c r="H153" s="2"/>
      <c r="I153" s="2"/>
      <c r="J153" s="4"/>
      <c r="K153" s="8"/>
      <c r="L153" s="9"/>
      <c r="M153" s="6"/>
      <c r="N153" s="2"/>
      <c r="O153" s="12"/>
      <c r="P153" s="13"/>
      <c r="Q153" s="6"/>
      <c r="R153" s="6"/>
      <c r="S153" s="6"/>
    </row>
    <row r="154" spans="4:19" ht="15.75">
      <c r="D154" s="2"/>
      <c r="E154" s="2"/>
      <c r="F154" s="2"/>
      <c r="G154" s="6"/>
      <c r="H154" s="2"/>
      <c r="I154" s="2"/>
      <c r="J154" s="4"/>
      <c r="K154" s="8"/>
      <c r="L154" s="9"/>
      <c r="M154" s="6"/>
      <c r="N154" s="2"/>
      <c r="O154" s="12"/>
      <c r="P154" s="13"/>
      <c r="Q154" s="6"/>
      <c r="R154" s="6"/>
      <c r="S154" s="6"/>
    </row>
    <row r="155" spans="4:19" ht="15.75">
      <c r="D155" s="2"/>
      <c r="E155" s="2"/>
      <c r="F155" s="2"/>
      <c r="G155" s="6"/>
      <c r="H155" s="2"/>
      <c r="I155" s="2"/>
      <c r="J155" s="4"/>
      <c r="K155" s="8"/>
      <c r="L155" s="9"/>
      <c r="M155" s="6"/>
      <c r="N155" s="2"/>
      <c r="O155" s="12"/>
      <c r="P155" s="13"/>
      <c r="Q155" s="6"/>
      <c r="R155" s="6"/>
      <c r="S155" s="6"/>
    </row>
    <row r="156" spans="4:19" ht="15.75">
      <c r="D156" s="2"/>
      <c r="E156" s="2"/>
      <c r="F156" s="2"/>
      <c r="G156" s="6"/>
      <c r="H156" s="2"/>
      <c r="I156" s="2"/>
      <c r="J156" s="4"/>
      <c r="K156" s="8"/>
      <c r="L156" s="9"/>
      <c r="M156" s="6"/>
      <c r="N156" s="2"/>
      <c r="O156" s="12"/>
      <c r="P156" s="13"/>
      <c r="Q156" s="6"/>
      <c r="R156" s="6"/>
      <c r="S156" s="6"/>
    </row>
    <row r="157" spans="4:19" ht="15.75">
      <c r="D157" s="2"/>
      <c r="E157" s="2"/>
      <c r="F157" s="2"/>
      <c r="G157" s="6"/>
      <c r="H157" s="2"/>
      <c r="I157" s="2"/>
      <c r="J157" s="4"/>
      <c r="K157" s="8"/>
      <c r="L157" s="9"/>
      <c r="M157" s="6"/>
      <c r="N157" s="2"/>
      <c r="O157" s="12"/>
      <c r="P157" s="13"/>
      <c r="Q157" s="6"/>
      <c r="R157" s="6"/>
      <c r="S157" s="6"/>
    </row>
    <row r="158" spans="4:19" ht="15.75">
      <c r="D158" s="2"/>
      <c r="E158" s="2"/>
      <c r="F158" s="2"/>
      <c r="G158" s="6"/>
      <c r="H158" s="2"/>
      <c r="I158" s="2"/>
      <c r="J158" s="4"/>
      <c r="K158" s="8"/>
      <c r="L158" s="9"/>
      <c r="M158" s="6"/>
      <c r="N158" s="2"/>
      <c r="O158" s="12"/>
      <c r="P158" s="13"/>
      <c r="Q158" s="6"/>
    </row>
    <row r="159" spans="4:19" ht="15.75">
      <c r="D159" s="2"/>
      <c r="E159" s="2"/>
      <c r="F159" s="2"/>
      <c r="G159" s="6"/>
      <c r="H159" s="2"/>
      <c r="I159" s="2"/>
      <c r="J159" s="4"/>
      <c r="K159" s="8"/>
      <c r="L159" s="9"/>
      <c r="M159" s="6"/>
      <c r="N159" s="2"/>
      <c r="O159" s="12"/>
      <c r="P159" s="13"/>
      <c r="Q159" s="6"/>
    </row>
    <row r="160" spans="4:19">
      <c r="D160" s="2"/>
      <c r="E160" s="2"/>
      <c r="R160" s="6"/>
    </row>
    <row r="161" spans="4:19" ht="15.75">
      <c r="D161" s="2"/>
      <c r="E161" s="2"/>
      <c r="F161" s="2"/>
      <c r="G161" s="6"/>
      <c r="H161" s="2"/>
      <c r="I161" s="2"/>
      <c r="J161" s="4"/>
      <c r="K161" s="6"/>
      <c r="L161" s="9"/>
      <c r="M161" s="6"/>
      <c r="N161" s="2"/>
      <c r="O161" s="12"/>
      <c r="P161" s="13"/>
      <c r="Q161" s="6"/>
      <c r="R161" s="6"/>
      <c r="S161" s="6"/>
    </row>
    <row r="162" spans="4:19" ht="15.75">
      <c r="D162" s="2"/>
      <c r="E162" s="2"/>
      <c r="F162" s="2"/>
      <c r="G162" s="6"/>
      <c r="H162" s="2"/>
      <c r="I162" s="2"/>
      <c r="J162" s="4"/>
      <c r="K162" s="6"/>
      <c r="L162" s="9"/>
      <c r="M162" s="6"/>
      <c r="N162" s="2"/>
      <c r="O162" s="12"/>
      <c r="P162" s="13"/>
      <c r="Q162" s="6"/>
      <c r="R162" s="6"/>
      <c r="S162" s="6"/>
    </row>
    <row r="163" spans="4:19" ht="15.75">
      <c r="D163" s="2"/>
      <c r="E163" s="2"/>
      <c r="F163" s="2"/>
      <c r="G163" s="6"/>
      <c r="H163" s="2"/>
      <c r="I163" s="2"/>
      <c r="J163" s="4"/>
      <c r="K163" s="6"/>
      <c r="L163" s="9"/>
      <c r="M163" s="6"/>
      <c r="N163" s="2"/>
      <c r="O163" s="12"/>
      <c r="P163" s="13"/>
      <c r="Q163" s="6"/>
      <c r="R163" s="6"/>
      <c r="S163" s="6"/>
    </row>
    <row r="164" spans="4:19" ht="15.75">
      <c r="D164" s="2"/>
      <c r="E164" s="2"/>
      <c r="F164" s="2"/>
      <c r="G164" s="6"/>
      <c r="H164" s="2"/>
      <c r="I164" s="2"/>
      <c r="J164" s="4"/>
      <c r="K164" s="6"/>
      <c r="L164" s="9"/>
      <c r="M164" s="6"/>
      <c r="N164" s="2"/>
      <c r="O164" s="12"/>
      <c r="P164" s="13"/>
      <c r="Q164" s="6"/>
      <c r="R164" s="6"/>
      <c r="S164" s="6"/>
    </row>
    <row r="165" spans="4:19" ht="15.75">
      <c r="D165" s="2"/>
      <c r="E165" s="2"/>
      <c r="F165" s="2"/>
      <c r="G165" s="6"/>
      <c r="H165" s="2"/>
      <c r="I165" s="2"/>
      <c r="J165" s="4"/>
      <c r="K165" s="6"/>
      <c r="L165" s="9"/>
      <c r="M165" s="6"/>
      <c r="N165" s="2"/>
      <c r="O165" s="12"/>
      <c r="P165" s="13"/>
      <c r="Q165" s="6"/>
      <c r="R165" s="6"/>
    </row>
    <row r="166" spans="4:19" ht="15.75">
      <c r="D166" s="2"/>
      <c r="E166" s="2"/>
      <c r="F166" s="2"/>
      <c r="G166" s="6"/>
      <c r="H166" s="2"/>
      <c r="I166" s="2"/>
      <c r="J166" s="4"/>
      <c r="K166" s="6"/>
      <c r="L166" s="9"/>
      <c r="M166" s="6"/>
      <c r="N166" s="2"/>
      <c r="O166" s="12"/>
      <c r="P166" s="13"/>
      <c r="Q166" s="6"/>
      <c r="R166" s="6"/>
    </row>
    <row r="167" spans="4:19" ht="15.75">
      <c r="D167" s="2"/>
      <c r="E167" s="2"/>
      <c r="F167" s="2"/>
      <c r="G167" s="6"/>
      <c r="H167" s="2"/>
      <c r="I167" s="2"/>
      <c r="J167" s="4"/>
      <c r="K167" s="6"/>
      <c r="L167" s="9"/>
      <c r="M167" s="6"/>
      <c r="N167" s="2"/>
      <c r="O167" s="12"/>
      <c r="P167" s="13"/>
      <c r="Q167" s="6"/>
      <c r="R167" s="6"/>
    </row>
    <row r="168" spans="4:19" ht="15.75">
      <c r="D168" s="2"/>
      <c r="E168" s="2"/>
      <c r="F168" s="2"/>
      <c r="G168" s="6"/>
      <c r="H168" s="2"/>
      <c r="I168" s="2"/>
      <c r="J168" s="4"/>
      <c r="K168" s="6"/>
      <c r="L168" s="9"/>
      <c r="M168" s="6"/>
      <c r="N168" s="2"/>
      <c r="O168" s="12"/>
      <c r="P168" s="13"/>
      <c r="Q168" s="6"/>
    </row>
    <row r="169" spans="4:19" ht="15.75">
      <c r="D169" s="2"/>
      <c r="E169" s="2"/>
      <c r="F169" s="2"/>
      <c r="G169" s="6"/>
      <c r="H169" s="2"/>
      <c r="I169" s="2"/>
      <c r="J169" s="4"/>
      <c r="K169" s="6"/>
      <c r="L169" s="9"/>
      <c r="M169" s="6"/>
      <c r="N169" s="2"/>
      <c r="O169" s="12"/>
      <c r="P169" s="13"/>
      <c r="Q169" s="6"/>
    </row>
    <row r="170" spans="4:19" ht="15.75">
      <c r="D170" s="2"/>
      <c r="E170" s="2"/>
      <c r="F170" s="2"/>
      <c r="G170" s="6"/>
      <c r="H170" s="2"/>
      <c r="I170" s="2"/>
      <c r="J170" s="4"/>
      <c r="K170" s="6"/>
      <c r="L170" s="9"/>
      <c r="M170" s="6"/>
      <c r="N170" s="2"/>
      <c r="O170" s="12"/>
      <c r="P170" s="13"/>
      <c r="Q170" s="6"/>
    </row>
    <row r="171" spans="4:19" ht="15.75">
      <c r="D171" s="2"/>
      <c r="E171" s="2"/>
      <c r="F171" s="2"/>
      <c r="G171" s="6"/>
      <c r="H171" s="2"/>
      <c r="I171" s="2"/>
      <c r="J171" s="4"/>
      <c r="K171" s="6"/>
      <c r="L171" s="9"/>
      <c r="M171" s="6"/>
      <c r="N171" s="2"/>
      <c r="O171" s="12"/>
      <c r="P171" s="13"/>
      <c r="Q171" s="6"/>
    </row>
    <row r="172" spans="4:19" ht="15.75">
      <c r="D172" s="2"/>
      <c r="E172" s="2"/>
      <c r="F172" s="2"/>
      <c r="G172" s="6"/>
      <c r="H172" s="2"/>
      <c r="I172" s="2"/>
      <c r="J172" s="4"/>
      <c r="K172" s="6"/>
      <c r="L172" s="9"/>
      <c r="M172" s="6"/>
      <c r="N172" s="2"/>
      <c r="O172" s="12"/>
      <c r="P172" s="13"/>
      <c r="Q172" s="6"/>
    </row>
    <row r="173" spans="4:19" ht="15.75">
      <c r="D173" s="2"/>
      <c r="E173" s="2"/>
      <c r="F173" s="2"/>
      <c r="G173" s="6"/>
      <c r="H173" s="2"/>
      <c r="I173" s="2"/>
      <c r="J173" s="4"/>
      <c r="K173" s="6"/>
      <c r="L173" s="9"/>
      <c r="M173" s="6"/>
      <c r="N173" s="2"/>
      <c r="O173" s="12"/>
      <c r="P173" s="13"/>
      <c r="Q173" s="6"/>
    </row>
    <row r="174" spans="4:19">
      <c r="D174" s="2"/>
      <c r="E174" s="2"/>
      <c r="R174" s="6"/>
    </row>
    <row r="175" spans="4:19" ht="15.75">
      <c r="D175" s="2"/>
      <c r="E175" s="2"/>
      <c r="F175" s="2"/>
      <c r="G175" s="6"/>
      <c r="H175" s="2"/>
      <c r="I175" s="2"/>
      <c r="J175" s="4"/>
      <c r="K175" s="6"/>
      <c r="L175" s="9"/>
      <c r="M175" s="6"/>
      <c r="N175" s="2"/>
      <c r="O175" s="12"/>
      <c r="P175" s="13"/>
      <c r="Q175" s="6"/>
      <c r="R175" s="6"/>
      <c r="S175" s="6"/>
    </row>
    <row r="176" spans="4:19" ht="15.75">
      <c r="D176" s="2"/>
      <c r="E176" s="2"/>
      <c r="F176" s="2"/>
      <c r="G176" s="6"/>
      <c r="H176" s="2"/>
      <c r="I176" s="2"/>
      <c r="J176" s="4"/>
      <c r="K176" s="6"/>
      <c r="L176" s="9"/>
      <c r="M176" s="6"/>
      <c r="N176" s="2"/>
      <c r="O176" s="12"/>
      <c r="P176" s="13"/>
      <c r="Q176" s="6"/>
      <c r="R176" s="6"/>
      <c r="S176" s="6"/>
    </row>
    <row r="177" spans="4:22" ht="15.75">
      <c r="D177" s="2"/>
      <c r="E177" s="2"/>
      <c r="F177" s="2"/>
      <c r="G177" s="6"/>
      <c r="H177" s="2"/>
      <c r="I177" s="2"/>
      <c r="J177" s="4"/>
      <c r="K177" s="6"/>
      <c r="L177" s="9"/>
      <c r="M177" s="6"/>
      <c r="N177" s="2"/>
      <c r="O177" s="12"/>
      <c r="P177" s="13"/>
      <c r="Q177" s="6"/>
      <c r="R177" s="6"/>
      <c r="S177" s="6"/>
    </row>
    <row r="178" spans="4:22" ht="15.75">
      <c r="D178" s="2"/>
      <c r="E178" s="2"/>
      <c r="F178" s="2"/>
      <c r="G178" s="6"/>
      <c r="H178" s="2"/>
      <c r="I178" s="2"/>
      <c r="J178" s="4"/>
      <c r="K178" s="6"/>
      <c r="L178" s="9"/>
      <c r="M178" s="6"/>
      <c r="N178" s="2"/>
      <c r="O178" s="12"/>
      <c r="P178" s="13"/>
      <c r="Q178" s="6"/>
      <c r="R178" s="6"/>
      <c r="S178" s="6"/>
    </row>
    <row r="179" spans="4:22" ht="15.75">
      <c r="D179" s="2"/>
      <c r="E179" s="2"/>
      <c r="F179" s="2"/>
      <c r="G179" s="6"/>
      <c r="H179" s="2"/>
      <c r="I179" s="2"/>
      <c r="J179" s="4"/>
      <c r="K179" s="6"/>
      <c r="L179" s="9"/>
      <c r="M179" s="6"/>
      <c r="N179" s="2"/>
      <c r="O179" s="12"/>
      <c r="P179" s="13"/>
      <c r="Q179" s="6"/>
      <c r="R179" s="6"/>
      <c r="S179" s="6"/>
    </row>
    <row r="180" spans="4:22" ht="15.75">
      <c r="D180" s="2"/>
      <c r="E180" s="2"/>
      <c r="F180" s="2"/>
      <c r="G180" s="6"/>
      <c r="H180" s="2"/>
      <c r="I180" s="2"/>
      <c r="J180" s="4"/>
      <c r="K180" s="6"/>
      <c r="L180" s="9"/>
      <c r="M180" s="6"/>
      <c r="N180" s="2"/>
      <c r="O180" s="12"/>
      <c r="P180" s="13"/>
      <c r="Q180" s="6"/>
      <c r="R180" s="6"/>
      <c r="S180" s="6"/>
    </row>
    <row r="181" spans="4:22" ht="15.75">
      <c r="D181" s="2"/>
      <c r="E181" s="2"/>
      <c r="F181" s="2"/>
      <c r="G181" s="6"/>
      <c r="H181" s="2"/>
      <c r="I181" s="2"/>
      <c r="J181" s="4"/>
      <c r="K181" s="6"/>
      <c r="L181" s="9"/>
      <c r="M181" s="6"/>
      <c r="N181" s="2"/>
      <c r="O181" s="12"/>
      <c r="P181" s="13"/>
      <c r="Q181" s="6"/>
      <c r="R181" s="6"/>
      <c r="S181" s="6"/>
    </row>
    <row r="182" spans="4:22" ht="15.75">
      <c r="D182" s="2"/>
      <c r="E182" s="2"/>
      <c r="F182" s="2"/>
      <c r="G182" s="6"/>
      <c r="H182" s="2"/>
      <c r="I182" s="2"/>
      <c r="J182" s="4"/>
      <c r="K182" s="6"/>
      <c r="L182" s="9"/>
      <c r="M182" s="6"/>
      <c r="N182" s="2"/>
      <c r="O182" s="12"/>
      <c r="P182" s="13"/>
      <c r="Q182" s="6"/>
      <c r="S182" s="6"/>
    </row>
    <row r="183" spans="4:22" ht="15.75">
      <c r="D183" s="2"/>
      <c r="E183" s="2"/>
      <c r="F183" s="2"/>
      <c r="G183" s="6"/>
      <c r="H183" s="2"/>
      <c r="I183" s="2"/>
      <c r="J183" s="4"/>
      <c r="K183" s="6"/>
      <c r="L183" s="9"/>
      <c r="M183" s="6"/>
      <c r="N183" s="2"/>
      <c r="O183" s="12"/>
      <c r="P183" s="13"/>
      <c r="Q183" s="6"/>
      <c r="S183" s="6"/>
    </row>
    <row r="184" spans="4:22" ht="15.75">
      <c r="D184" s="2"/>
      <c r="E184" s="2"/>
      <c r="F184" s="2"/>
      <c r="G184" s="6"/>
      <c r="H184" s="2"/>
      <c r="I184" s="2"/>
      <c r="J184" s="4"/>
      <c r="K184" s="6"/>
      <c r="L184" s="9"/>
      <c r="M184" s="6"/>
      <c r="N184" s="2"/>
      <c r="O184" s="12"/>
      <c r="P184" s="13"/>
      <c r="Q184" s="6"/>
      <c r="S184" s="6"/>
    </row>
    <row r="185" spans="4:22" ht="15.75">
      <c r="D185" s="2"/>
      <c r="E185" s="2"/>
      <c r="F185" s="2"/>
      <c r="G185" s="6"/>
      <c r="H185" s="2"/>
      <c r="I185" s="2"/>
      <c r="J185" s="4"/>
      <c r="K185" s="6"/>
      <c r="L185" s="9"/>
      <c r="M185" s="6"/>
      <c r="N185" s="2"/>
      <c r="O185" s="12"/>
      <c r="P185" s="13"/>
      <c r="Q185" s="6"/>
      <c r="S185" s="6"/>
    </row>
    <row r="186" spans="4:22" ht="15.75">
      <c r="D186" s="2"/>
      <c r="E186" s="2"/>
      <c r="F186" s="2"/>
      <c r="G186" s="6"/>
      <c r="H186" s="2"/>
      <c r="I186" s="2"/>
      <c r="J186" s="4"/>
      <c r="K186" s="6"/>
      <c r="L186" s="9"/>
      <c r="M186" s="6"/>
      <c r="N186" s="2"/>
      <c r="O186" s="12"/>
      <c r="P186" s="13"/>
      <c r="Q186" s="6"/>
      <c r="S186" s="6"/>
    </row>
    <row r="187" spans="4:22" ht="15.75">
      <c r="D187" s="2"/>
      <c r="E187" s="2"/>
      <c r="F187" s="2"/>
      <c r="G187" s="6"/>
      <c r="H187" s="2"/>
      <c r="I187" s="2"/>
      <c r="J187" s="4"/>
      <c r="K187" s="6"/>
      <c r="L187" s="9"/>
      <c r="M187" s="6"/>
      <c r="N187" s="2"/>
      <c r="O187" s="12"/>
      <c r="P187" s="13"/>
      <c r="Q187" s="6"/>
      <c r="S187" s="6"/>
    </row>
    <row r="188" spans="4:22">
      <c r="D188" s="2"/>
      <c r="E188" s="2"/>
    </row>
    <row r="189" spans="4:22" ht="15.75">
      <c r="D189" s="3"/>
      <c r="E189" s="3"/>
      <c r="F189" s="3"/>
      <c r="G189" s="4"/>
      <c r="H189" s="3"/>
      <c r="I189" s="3"/>
      <c r="J189" s="4"/>
      <c r="K189" s="4"/>
      <c r="L189" s="9"/>
      <c r="M189" s="4"/>
      <c r="N189" s="3"/>
      <c r="O189" s="12"/>
      <c r="P189" s="13"/>
      <c r="Q189" s="20"/>
    </row>
    <row r="190" spans="4:22" ht="15.75">
      <c r="D190" s="3"/>
      <c r="E190" s="3"/>
      <c r="F190" s="3"/>
      <c r="G190" s="4"/>
      <c r="H190" s="3"/>
      <c r="I190" s="3"/>
      <c r="J190" s="4"/>
      <c r="K190" s="4"/>
      <c r="L190" s="9"/>
      <c r="M190" s="4"/>
      <c r="N190" s="3"/>
      <c r="O190" s="12"/>
      <c r="P190" s="13"/>
      <c r="Q190" s="4"/>
      <c r="U190" s="6"/>
      <c r="V190" s="6"/>
    </row>
    <row r="191" spans="4:22" ht="15.75">
      <c r="D191" s="3"/>
      <c r="E191" s="3"/>
      <c r="F191" s="3"/>
      <c r="G191" s="4"/>
      <c r="H191" s="3"/>
      <c r="I191" s="3"/>
      <c r="J191" s="4"/>
      <c r="K191" s="4"/>
      <c r="L191" s="9"/>
      <c r="M191" s="4"/>
      <c r="N191" s="3"/>
      <c r="O191" s="12"/>
      <c r="P191" s="13"/>
      <c r="Q191" s="20"/>
      <c r="U191" s="6"/>
      <c r="V191" s="6"/>
    </row>
    <row r="192" spans="4:22" ht="15.75">
      <c r="D192" s="3"/>
      <c r="E192" s="3"/>
      <c r="F192" s="3"/>
      <c r="G192" s="4"/>
      <c r="H192" s="3"/>
      <c r="I192" s="3"/>
      <c r="J192" s="4"/>
      <c r="K192" s="4"/>
      <c r="L192" s="9"/>
      <c r="M192" s="4"/>
      <c r="N192" s="3"/>
      <c r="O192" s="12"/>
      <c r="P192" s="13"/>
      <c r="Q192" s="4"/>
    </row>
    <row r="193" spans="4:22" ht="15.75">
      <c r="D193" s="3"/>
      <c r="E193" s="3"/>
      <c r="F193" s="3"/>
      <c r="G193" s="4"/>
      <c r="H193" s="3"/>
      <c r="I193" s="3"/>
      <c r="J193" s="4"/>
      <c r="K193" s="4"/>
      <c r="L193" s="9"/>
      <c r="M193" s="4"/>
      <c r="N193" s="3"/>
      <c r="O193" s="12"/>
      <c r="P193" s="13"/>
      <c r="Q193" s="4"/>
      <c r="U193" s="6"/>
    </row>
    <row r="194" spans="4:22" ht="15.75">
      <c r="D194" s="3"/>
      <c r="E194" s="3"/>
      <c r="F194" s="3"/>
      <c r="G194" s="4"/>
      <c r="H194" s="3"/>
      <c r="I194" s="3"/>
      <c r="J194" s="4"/>
      <c r="K194" s="4"/>
      <c r="L194" s="9"/>
      <c r="M194" s="4"/>
      <c r="N194" s="3"/>
      <c r="O194" s="12"/>
      <c r="P194" s="13"/>
      <c r="Q194" s="4"/>
      <c r="U194" s="6"/>
      <c r="V194" s="6"/>
    </row>
    <row r="195" spans="4:22" ht="15.75">
      <c r="D195" s="3"/>
      <c r="E195" s="3"/>
      <c r="F195" s="3"/>
      <c r="G195" s="4"/>
      <c r="H195" s="3"/>
      <c r="I195" s="3"/>
      <c r="J195" s="4"/>
      <c r="K195" s="4"/>
      <c r="L195" s="9"/>
      <c r="M195" s="4"/>
      <c r="N195" s="3"/>
      <c r="O195" s="12"/>
      <c r="P195" s="13"/>
      <c r="Q195" s="4"/>
      <c r="U195" s="6"/>
      <c r="V195" s="6"/>
    </row>
    <row r="196" spans="4:22" ht="15.75">
      <c r="D196" s="3"/>
      <c r="E196" s="3"/>
      <c r="F196" s="3"/>
      <c r="G196" s="4"/>
      <c r="H196" s="3"/>
      <c r="I196" s="3"/>
      <c r="J196" s="4"/>
      <c r="K196" s="4"/>
      <c r="L196" s="9"/>
      <c r="M196" s="4"/>
      <c r="N196" s="3"/>
      <c r="O196" s="12"/>
      <c r="P196" s="13"/>
      <c r="Q196" s="4"/>
      <c r="U196" s="6"/>
    </row>
    <row r="197" spans="4:22" ht="15.75">
      <c r="D197" s="3"/>
      <c r="E197" s="3"/>
      <c r="F197" s="3"/>
      <c r="G197" s="4"/>
      <c r="H197" s="3"/>
      <c r="I197" s="3"/>
      <c r="J197" s="4"/>
      <c r="K197" s="4"/>
      <c r="L197" s="9"/>
      <c r="M197" s="4"/>
      <c r="N197" s="3"/>
      <c r="O197" s="12"/>
      <c r="P197" s="13"/>
      <c r="Q197" s="4"/>
      <c r="U197" s="6"/>
      <c r="V197" s="6"/>
    </row>
    <row r="198" spans="4:22" ht="15.75">
      <c r="D198" s="3"/>
      <c r="E198" s="3"/>
      <c r="F198" s="3"/>
      <c r="G198" s="4"/>
      <c r="H198" s="3"/>
      <c r="I198" s="3"/>
      <c r="J198" s="4"/>
      <c r="K198" s="4"/>
      <c r="L198" s="9"/>
      <c r="M198" s="4"/>
      <c r="N198" s="3"/>
      <c r="O198" s="12"/>
      <c r="P198" s="13"/>
      <c r="Q198" s="4"/>
      <c r="U198" s="6"/>
    </row>
    <row r="199" spans="4:22" ht="15.75">
      <c r="D199" s="3"/>
      <c r="E199" s="3"/>
      <c r="F199" s="3"/>
      <c r="G199" s="4"/>
      <c r="H199" s="3"/>
      <c r="I199" s="3"/>
      <c r="J199" s="4"/>
      <c r="K199" s="4"/>
      <c r="L199" s="9"/>
      <c r="M199" s="4"/>
      <c r="N199" s="3"/>
      <c r="O199" s="12"/>
      <c r="P199" s="13"/>
      <c r="Q199" s="4"/>
      <c r="U199" s="6"/>
      <c r="V199" s="6"/>
    </row>
    <row r="200" spans="4:22" ht="15.75">
      <c r="D200" s="3"/>
      <c r="E200" s="3"/>
      <c r="F200" s="3"/>
      <c r="G200" s="4"/>
      <c r="H200" s="3"/>
      <c r="I200" s="3"/>
      <c r="J200" s="4"/>
      <c r="K200" s="4"/>
      <c r="L200" s="9"/>
      <c r="M200" s="4"/>
      <c r="N200" s="3"/>
      <c r="O200" s="12"/>
      <c r="P200" s="13"/>
      <c r="Q200" s="4"/>
      <c r="U200" s="6"/>
    </row>
    <row r="201" spans="4:22" ht="15.75">
      <c r="D201" s="3"/>
      <c r="E201" s="3"/>
      <c r="F201" s="3"/>
      <c r="G201" s="4"/>
      <c r="H201" s="3"/>
      <c r="I201" s="3"/>
      <c r="J201" s="4"/>
      <c r="K201" s="4"/>
      <c r="L201" s="9"/>
      <c r="M201" s="4"/>
      <c r="N201" s="3"/>
      <c r="O201" s="12"/>
      <c r="P201" s="13"/>
      <c r="Q201" s="4"/>
      <c r="U201" s="6"/>
    </row>
    <row r="202" spans="4:22" ht="15.75">
      <c r="D202" s="3"/>
      <c r="E202" s="3"/>
      <c r="F202" s="3"/>
      <c r="G202" s="4"/>
      <c r="H202" s="3"/>
      <c r="I202" s="3"/>
      <c r="J202" s="4"/>
      <c r="K202" s="4"/>
      <c r="L202" s="9"/>
      <c r="M202" s="4"/>
      <c r="N202" s="3"/>
      <c r="O202" s="12"/>
      <c r="P202" s="13"/>
      <c r="Q202" s="4"/>
      <c r="U202" s="6"/>
    </row>
    <row r="203" spans="4:22" ht="15.75">
      <c r="D203" s="3"/>
      <c r="E203" s="3"/>
      <c r="F203" s="3"/>
      <c r="G203" s="4"/>
      <c r="H203" s="3"/>
      <c r="I203" s="3"/>
      <c r="J203" s="4"/>
      <c r="K203" s="4"/>
      <c r="L203" s="9"/>
      <c r="M203" s="4"/>
      <c r="N203" s="3"/>
      <c r="O203" s="12"/>
      <c r="P203" s="13"/>
      <c r="Q203" s="4"/>
      <c r="U203" s="6"/>
    </row>
    <row r="204" spans="4:22" ht="15.75">
      <c r="D204" s="3"/>
      <c r="E204" s="3"/>
      <c r="F204" s="3"/>
      <c r="G204" s="4"/>
      <c r="H204" s="3"/>
      <c r="I204" s="3"/>
      <c r="J204" s="4"/>
      <c r="K204" s="4"/>
      <c r="L204" s="9"/>
      <c r="M204" s="4"/>
      <c r="N204" s="3"/>
      <c r="O204" s="12"/>
      <c r="P204" s="13"/>
      <c r="Q204" s="4"/>
    </row>
    <row r="205" spans="4:22" ht="15.75">
      <c r="D205" s="3"/>
      <c r="E205" s="3"/>
      <c r="F205" s="3"/>
      <c r="G205" s="4"/>
      <c r="H205" s="3"/>
      <c r="I205" s="3"/>
      <c r="J205" s="4"/>
      <c r="K205" s="4"/>
      <c r="L205" s="9"/>
      <c r="M205" s="4"/>
      <c r="N205" s="3"/>
      <c r="O205" s="12"/>
      <c r="P205" s="13"/>
      <c r="Q205" s="4"/>
      <c r="U205" s="6"/>
      <c r="V205" s="6"/>
    </row>
    <row r="206" spans="4:22" ht="15.75">
      <c r="D206" s="3"/>
      <c r="E206" s="3"/>
      <c r="F206" s="3"/>
      <c r="G206" s="4"/>
      <c r="H206" s="3"/>
      <c r="I206" s="3"/>
      <c r="J206" s="4"/>
      <c r="K206" s="4"/>
      <c r="L206" s="9"/>
      <c r="M206" s="4"/>
      <c r="N206" s="3"/>
      <c r="O206" s="12"/>
      <c r="P206" s="13"/>
      <c r="Q206" s="4"/>
    </row>
    <row r="207" spans="4:22" ht="15.75">
      <c r="D207" s="3"/>
      <c r="E207" s="3"/>
      <c r="F207" s="3"/>
      <c r="G207" s="4"/>
      <c r="H207" s="3"/>
      <c r="I207" s="3"/>
      <c r="J207" s="4"/>
      <c r="K207" s="4"/>
      <c r="L207" s="9"/>
      <c r="M207" s="4"/>
      <c r="N207" s="3"/>
      <c r="O207" s="12"/>
      <c r="P207" s="13"/>
      <c r="Q207" s="4"/>
      <c r="U207" s="21"/>
    </row>
    <row r="208" spans="4:22" ht="15.75">
      <c r="D208" s="3"/>
      <c r="E208" s="3"/>
      <c r="F208" s="3"/>
      <c r="G208" s="4"/>
      <c r="H208" s="3"/>
      <c r="I208" s="3"/>
      <c r="J208" s="4"/>
      <c r="K208" s="4"/>
      <c r="L208" s="9"/>
      <c r="M208" s="4"/>
      <c r="N208" s="3"/>
      <c r="O208" s="12"/>
      <c r="P208" s="13"/>
      <c r="Q208" s="4"/>
      <c r="U208" s="6"/>
    </row>
    <row r="209" spans="4:22" ht="15.75">
      <c r="D209" s="3"/>
      <c r="E209" s="3"/>
      <c r="F209" s="3"/>
      <c r="G209" s="4"/>
      <c r="H209" s="3"/>
      <c r="I209" s="3"/>
      <c r="J209" s="4"/>
      <c r="K209" s="4"/>
      <c r="L209" s="9"/>
      <c r="M209" s="4"/>
      <c r="N209" s="3"/>
      <c r="O209" s="12"/>
      <c r="P209" s="13"/>
      <c r="Q209" s="4"/>
      <c r="U209" s="6"/>
    </row>
    <row r="210" spans="4:22" ht="15.75">
      <c r="D210" s="3"/>
      <c r="E210" s="3"/>
      <c r="F210" s="3"/>
      <c r="G210" s="4"/>
      <c r="H210" s="3"/>
      <c r="I210" s="3"/>
      <c r="J210" s="4"/>
      <c r="K210" s="4"/>
      <c r="L210" s="9"/>
      <c r="M210" s="4"/>
      <c r="N210" s="3"/>
      <c r="O210" s="12"/>
      <c r="P210" s="13"/>
      <c r="Q210" s="4"/>
      <c r="U210" s="6"/>
    </row>
    <row r="211" spans="4:22" ht="15.75">
      <c r="D211" s="3"/>
      <c r="E211" s="3"/>
      <c r="F211" s="3"/>
      <c r="G211" s="4"/>
      <c r="H211" s="3"/>
      <c r="I211" s="3"/>
      <c r="J211" s="4"/>
      <c r="K211" s="4"/>
      <c r="L211" s="9"/>
      <c r="M211" s="4"/>
      <c r="N211" s="3"/>
      <c r="O211" s="12"/>
      <c r="P211" s="13"/>
      <c r="Q211" s="4"/>
      <c r="U211" s="6"/>
    </row>
    <row r="212" spans="4:22" ht="15.75">
      <c r="D212" s="3"/>
      <c r="E212" s="3"/>
      <c r="F212" s="3"/>
      <c r="G212" s="4"/>
      <c r="H212" s="3"/>
      <c r="I212" s="3"/>
      <c r="J212" s="4"/>
      <c r="K212" s="4"/>
      <c r="L212" s="9"/>
      <c r="M212" s="4"/>
      <c r="N212" s="3"/>
      <c r="O212" s="12"/>
      <c r="P212" s="13"/>
      <c r="Q212" s="4"/>
      <c r="U212" s="6"/>
    </row>
    <row r="213" spans="4:22" ht="15.75">
      <c r="D213" s="3"/>
      <c r="E213" s="3"/>
      <c r="F213" s="3"/>
      <c r="G213" s="4"/>
      <c r="H213" s="3"/>
      <c r="I213" s="3"/>
      <c r="J213" s="4"/>
      <c r="K213" s="4"/>
      <c r="L213" s="9"/>
      <c r="M213" s="4"/>
      <c r="N213" s="3"/>
      <c r="O213" s="12"/>
      <c r="P213" s="13"/>
      <c r="Q213" s="4"/>
      <c r="U213" s="6"/>
    </row>
    <row r="214" spans="4:22">
      <c r="U214" s="6"/>
    </row>
    <row r="216" spans="4:22">
      <c r="U216" s="6"/>
    </row>
    <row r="220" spans="4:22">
      <c r="U220" s="6"/>
      <c r="V220" s="6"/>
    </row>
    <row r="221" spans="4:22">
      <c r="U221" s="6"/>
      <c r="V221" s="6"/>
    </row>
    <row r="222" spans="4:22">
      <c r="U222" s="6"/>
      <c r="V222" s="6"/>
    </row>
    <row r="223" spans="4:22">
      <c r="U223" s="6"/>
      <c r="V223" s="6"/>
    </row>
    <row r="224" spans="4:22">
      <c r="V224" s="6"/>
    </row>
    <row r="225" spans="21:22">
      <c r="U225" s="6"/>
      <c r="V225" s="6"/>
    </row>
    <row r="226" spans="21:22">
      <c r="V226" s="6"/>
    </row>
    <row r="227" spans="21:22">
      <c r="U227" s="6"/>
      <c r="V227" s="6"/>
    </row>
    <row r="228" spans="21:22">
      <c r="U228" s="6"/>
      <c r="V2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H+O2+M Troe-HPMech-updated</vt:lpstr>
      <vt:lpstr>FFCM-1</vt:lpstr>
      <vt:lpstr>H+O2+M Troe-HPMech-Orginal</vt:lpstr>
      <vt:lpstr>H+O2+Ar Hong 2011_copy</vt:lpstr>
      <vt:lpstr>H+O2+Ar Hong 2011</vt:lpstr>
      <vt:lpstr>H+O2+AR-Burke</vt:lpstr>
      <vt:lpstr>H+O2+AR-USC-Mech II</vt:lpstr>
      <vt:lpstr>H+O2+AR-Aramco</vt:lpstr>
      <vt:lpstr>LPL Comparison</vt:lpstr>
      <vt:lpstr>Comparison-original</vt:lpstr>
      <vt:lpstr>Comparison-COPY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2012-11-16T07:10:38Z</dcterms:created>
  <dcterms:modified xsi:type="dcterms:W3CDTF">2019-08-27T01:28:06Z</dcterms:modified>
</cp:coreProperties>
</file>